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 tabRatio="963" firstSheet="1" activeTab="9"/>
  </bookViews>
  <sheets>
    <sheet name="Apresentação" sheetId="1" r:id="rId1"/>
    <sheet name="Coeficiêntes de Consumo" sheetId="2" r:id="rId2"/>
    <sheet name="Composiçaõ de dados básicos" sheetId="3" r:id="rId3"/>
    <sheet name="Encargos sociais" sheetId="4" r:id="rId4"/>
    <sheet name="Custo Variável " sheetId="5" r:id="rId5"/>
    <sheet name="Custo Fixo" sheetId="6" r:id="rId6"/>
    <sheet name="Participações" sheetId="15" r:id="rId7"/>
    <sheet name="Receitas Acessórias" sheetId="7" r:id="rId8"/>
    <sheet name="Cálculo Tarifário" sheetId="8" r:id="rId9"/>
    <sheet name="Análise de Investimento" sheetId="14" r:id="rId10"/>
  </sheets>
  <definedNames>
    <definedName name="_xlnm.Print_Area" localSheetId="9">'Análise de Investimento'!$A$1:$N$31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2" i="3"/>
  <c r="D54" i="6"/>
  <c r="D20" i="7"/>
  <c r="D5" i="14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C3" l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A140" i="6" l="1"/>
  <c r="A139"/>
  <c r="A138"/>
  <c r="C68" i="3"/>
  <c r="G60"/>
  <c r="B15" i="5" l="1"/>
  <c r="D34"/>
  <c r="D35"/>
  <c r="C35"/>
  <c r="C34"/>
  <c r="D36"/>
  <c r="D37"/>
  <c r="C37"/>
  <c r="C36"/>
  <c r="D39" l="1"/>
  <c r="C39"/>
  <c r="D40"/>
  <c r="D42" s="1"/>
  <c r="C40"/>
  <c r="C42" s="1"/>
  <c r="B4" i="4"/>
  <c r="D43" i="5" l="1"/>
  <c r="C43"/>
  <c r="C77" i="6"/>
  <c r="C79"/>
  <c r="C80"/>
  <c r="C81"/>
  <c r="C82"/>
  <c r="C83"/>
  <c r="C84"/>
  <c r="C78"/>
  <c r="D78"/>
  <c r="D79"/>
  <c r="D80"/>
  <c r="D81"/>
  <c r="D82"/>
  <c r="D83"/>
  <c r="D84"/>
  <c r="D85"/>
  <c r="D86"/>
  <c r="D77"/>
  <c r="G4" i="14" l="1"/>
  <c r="H4" s="1"/>
  <c r="G5" l="1"/>
  <c r="H5" l="1"/>
  <c r="G6"/>
  <c r="H6" s="1"/>
  <c r="G7" l="1"/>
  <c r="H7" l="1"/>
  <c r="G8"/>
  <c r="H8" l="1"/>
  <c r="G9"/>
  <c r="H9" l="1"/>
  <c r="G10"/>
  <c r="H10" l="1"/>
  <c r="G11"/>
  <c r="H11" l="1"/>
  <c r="G12"/>
  <c r="H12" l="1"/>
  <c r="G13"/>
  <c r="H13" l="1"/>
  <c r="G14"/>
  <c r="H14" l="1"/>
  <c r="G15"/>
  <c r="H15" l="1"/>
  <c r="G16"/>
  <c r="H16" l="1"/>
  <c r="G17"/>
  <c r="H17" l="1"/>
  <c r="G18"/>
  <c r="H18" l="1"/>
  <c r="G19"/>
  <c r="H19" l="1"/>
  <c r="G20"/>
  <c r="H20" l="1"/>
  <c r="G21"/>
  <c r="H21" l="1"/>
  <c r="G23"/>
  <c r="H23" s="1"/>
  <c r="G22"/>
  <c r="H22" l="1"/>
  <c r="G24"/>
  <c r="H24" l="1"/>
  <c r="G54" i="3" l="1"/>
  <c r="G55"/>
  <c r="G56"/>
  <c r="G57"/>
  <c r="G58"/>
  <c r="G59"/>
  <c r="G61"/>
  <c r="G62"/>
  <c r="G63"/>
  <c r="G64"/>
  <c r="G65"/>
  <c r="G66"/>
  <c r="G67"/>
  <c r="G53"/>
  <c r="G69" l="1"/>
  <c r="C2" i="14" s="1"/>
  <c r="C51" i="5" l="1"/>
  <c r="B68" i="3"/>
  <c r="A3" i="14" l="1"/>
  <c r="J3"/>
  <c r="D56" i="6"/>
  <c r="D57" s="1"/>
  <c r="D58" s="1"/>
  <c r="C33" i="3"/>
  <c r="B33"/>
  <c r="D26"/>
  <c r="C26"/>
  <c r="C38"/>
  <c r="C37" s="1"/>
  <c r="D45" i="5" s="1"/>
  <c r="D46" s="1"/>
  <c r="B38" i="3"/>
  <c r="B37" s="1"/>
  <c r="D19" i="5"/>
  <c r="D138" i="6" l="1"/>
  <c r="C4" i="5"/>
  <c r="C45"/>
  <c r="C46" s="1"/>
  <c r="C63" s="1"/>
  <c r="D63"/>
  <c r="C27" i="3"/>
  <c r="A137" i="6"/>
  <c r="C16" i="15" l="1"/>
  <c r="C6"/>
  <c r="D47" i="5"/>
  <c r="D104" i="3"/>
  <c r="C104"/>
  <c r="B104"/>
  <c r="D102"/>
  <c r="D103" s="1"/>
  <c r="C103"/>
  <c r="B102"/>
  <c r="B103" s="1"/>
  <c r="B105" l="1"/>
  <c r="C105"/>
  <c r="D105"/>
  <c r="D106" l="1"/>
  <c r="B30" i="7"/>
  <c r="D14"/>
  <c r="D16" s="1"/>
  <c r="D7"/>
  <c r="D9" s="1"/>
  <c r="D72" i="6"/>
  <c r="D100" s="1"/>
  <c r="C72"/>
  <c r="A136"/>
  <c r="A135"/>
  <c r="A134"/>
  <c r="A133"/>
  <c r="D64"/>
  <c r="D65" s="1"/>
  <c r="D139" s="1"/>
  <c r="D35"/>
  <c r="C17" i="15" l="1"/>
  <c r="D23" i="7"/>
  <c r="D28" s="1"/>
  <c r="D94" i="6"/>
  <c r="D98"/>
  <c r="C98"/>
  <c r="D103"/>
  <c r="D102"/>
  <c r="D43" i="3"/>
  <c r="D73" i="6"/>
  <c r="C73"/>
  <c r="C96"/>
  <c r="C94"/>
  <c r="D96"/>
  <c r="C100"/>
  <c r="C95"/>
  <c r="C99"/>
  <c r="C101"/>
  <c r="C97"/>
  <c r="D95"/>
  <c r="D97"/>
  <c r="D99"/>
  <c r="D101"/>
  <c r="D74"/>
  <c r="C74"/>
  <c r="D55" i="5"/>
  <c r="C55"/>
  <c r="D50"/>
  <c r="C50"/>
  <c r="D23"/>
  <c r="C23"/>
  <c r="D24" i="7" l="1"/>
  <c r="D126" i="6"/>
  <c r="D127" s="1"/>
  <c r="D27" i="7"/>
  <c r="D29"/>
  <c r="C126" i="6"/>
  <c r="C127" s="1"/>
  <c r="D5" i="5"/>
  <c r="C5"/>
  <c r="D4"/>
  <c r="D18"/>
  <c r="D17"/>
  <c r="D16"/>
  <c r="D15"/>
  <c r="C6" l="1"/>
  <c r="D9" s="1"/>
  <c r="D11" s="1"/>
  <c r="D30" i="7"/>
  <c r="D33" s="1"/>
  <c r="D4" i="8" s="1"/>
  <c r="D20" i="5"/>
  <c r="B21" i="4"/>
  <c r="B13"/>
  <c r="D3" i="3"/>
  <c r="C61" i="5" l="1"/>
  <c r="D34" i="7"/>
  <c r="I4" i="14" s="1"/>
  <c r="D66" i="6"/>
  <c r="D59"/>
  <c r="C24" i="5"/>
  <c r="C25" s="1"/>
  <c r="C62" s="1"/>
  <c r="D38" i="3"/>
  <c r="D37"/>
  <c r="C4" i="15" l="1"/>
  <c r="I5" i="14"/>
  <c r="J4"/>
  <c r="E69" i="3"/>
  <c r="D109"/>
  <c r="D110" s="1"/>
  <c r="D39"/>
  <c r="D40" s="1"/>
  <c r="D24" i="5"/>
  <c r="D25" s="1"/>
  <c r="B27" i="4"/>
  <c r="C34" i="3"/>
  <c r="B34"/>
  <c r="D33"/>
  <c r="D32"/>
  <c r="D31"/>
  <c r="C3"/>
  <c r="D54" l="1"/>
  <c r="D58"/>
  <c r="D62"/>
  <c r="D66"/>
  <c r="D60"/>
  <c r="D61"/>
  <c r="D53"/>
  <c r="D55"/>
  <c r="D59"/>
  <c r="D63"/>
  <c r="D67"/>
  <c r="D64"/>
  <c r="D57"/>
  <c r="D65"/>
  <c r="D56"/>
  <c r="D68"/>
  <c r="D35" i="8"/>
  <c r="K4" i="14"/>
  <c r="J5"/>
  <c r="K5" s="1"/>
  <c r="I6"/>
  <c r="E70" i="3"/>
  <c r="D34"/>
  <c r="C52" i="5"/>
  <c r="D26"/>
  <c r="D62"/>
  <c r="B25" i="4"/>
  <c r="B28" s="1"/>
  <c r="C5" i="15" l="1"/>
  <c r="D5" i="6"/>
  <c r="D7" s="1"/>
  <c r="D36"/>
  <c r="D37" s="1"/>
  <c r="D23"/>
  <c r="D14"/>
  <c r="D15" s="1"/>
  <c r="D17" s="1"/>
  <c r="D47"/>
  <c r="L4" i="14"/>
  <c r="L5" s="1"/>
  <c r="J6"/>
  <c r="K6" s="1"/>
  <c r="I7"/>
  <c r="D53" i="5"/>
  <c r="D54" s="1"/>
  <c r="D56" s="1"/>
  <c r="D64" s="1"/>
  <c r="C53"/>
  <c r="C54" s="1"/>
  <c r="C56" s="1"/>
  <c r="D9" i="6" l="1"/>
  <c r="D25"/>
  <c r="D24"/>
  <c r="D134"/>
  <c r="D18"/>
  <c r="D136"/>
  <c r="D38"/>
  <c r="L6" i="14"/>
  <c r="J7"/>
  <c r="I8"/>
  <c r="D137" i="6"/>
  <c r="D48"/>
  <c r="C64" i="5"/>
  <c r="C7" i="15" s="1"/>
  <c r="D57" i="5"/>
  <c r="C12" i="15" l="1"/>
  <c r="C14"/>
  <c r="C15"/>
  <c r="C8"/>
  <c r="D133" i="6"/>
  <c r="D10"/>
  <c r="D28"/>
  <c r="D135" s="1"/>
  <c r="K7" i="14"/>
  <c r="J8"/>
  <c r="I9"/>
  <c r="C66" i="5"/>
  <c r="C67" s="1"/>
  <c r="D69"/>
  <c r="D70" s="1"/>
  <c r="D66"/>
  <c r="C13" i="15" l="1"/>
  <c r="C11"/>
  <c r="K8" i="14"/>
  <c r="D29" i="6"/>
  <c r="J9" i="14"/>
  <c r="I10"/>
  <c r="L7"/>
  <c r="D67" i="5"/>
  <c r="D68" s="1"/>
  <c r="L8" i="14" l="1"/>
  <c r="J10"/>
  <c r="I11"/>
  <c r="K9"/>
  <c r="C128" i="6"/>
  <c r="D128"/>
  <c r="L9" i="14" l="1"/>
  <c r="D129" i="6"/>
  <c r="J11" i="14"/>
  <c r="I12"/>
  <c r="K10"/>
  <c r="L10" l="1"/>
  <c r="D130" i="6"/>
  <c r="D140"/>
  <c r="J12" i="14"/>
  <c r="I13"/>
  <c r="K11"/>
  <c r="C18" i="15" l="1"/>
  <c r="L11" i="14"/>
  <c r="K12"/>
  <c r="J13"/>
  <c r="K13" s="1"/>
  <c r="I14"/>
  <c r="D142" i="6"/>
  <c r="D143" s="1"/>
  <c r="C19" i="15" l="1"/>
  <c r="L12" i="14"/>
  <c r="L13" s="1"/>
  <c r="J14"/>
  <c r="K14" s="1"/>
  <c r="I15"/>
  <c r="D144" i="6"/>
  <c r="D3" i="8"/>
  <c r="C21" i="15" l="1"/>
  <c r="L14" i="14"/>
  <c r="D6" i="8"/>
  <c r="D11"/>
  <c r="C11" s="1"/>
  <c r="D16"/>
  <c r="D10"/>
  <c r="D13"/>
  <c r="C13" s="1"/>
  <c r="D12"/>
  <c r="C12" s="1"/>
  <c r="J15" i="14"/>
  <c r="K15" s="1"/>
  <c r="I16"/>
  <c r="D27" i="15" l="1"/>
  <c r="D24"/>
  <c r="D29"/>
  <c r="D26"/>
  <c r="D25"/>
  <c r="L15" i="14"/>
  <c r="D27" i="8"/>
  <c r="J16" i="14"/>
  <c r="K16" s="1"/>
  <c r="I17"/>
  <c r="D22" i="8"/>
  <c r="D24"/>
  <c r="D20"/>
  <c r="D32" s="1"/>
  <c r="C10"/>
  <c r="D18"/>
  <c r="C18" s="1"/>
  <c r="D17"/>
  <c r="C16"/>
  <c r="D31" i="15" l="1"/>
  <c r="C33"/>
  <c r="D30"/>
  <c r="L16" i="14"/>
  <c r="J17"/>
  <c r="K17" s="1"/>
  <c r="I18"/>
  <c r="C17" i="8"/>
  <c r="C35" i="15" l="1"/>
  <c r="D33" s="1"/>
  <c r="L17" i="14"/>
  <c r="J18"/>
  <c r="K18" s="1"/>
  <c r="I19"/>
  <c r="D5" i="8"/>
  <c r="D29"/>
  <c r="D30" s="1"/>
  <c r="D15" i="15" l="1"/>
  <c r="D16"/>
  <c r="D4"/>
  <c r="D8"/>
  <c r="D35"/>
  <c r="D13"/>
  <c r="D11"/>
  <c r="D5"/>
  <c r="D17"/>
  <c r="D14"/>
  <c r="D12"/>
  <c r="D6"/>
  <c r="D7"/>
  <c r="D18"/>
  <c r="D19"/>
  <c r="D21"/>
  <c r="L18" i="14"/>
  <c r="J19"/>
  <c r="K19" s="1"/>
  <c r="I20"/>
  <c r="D21" i="8"/>
  <c r="D28"/>
  <c r="D33"/>
  <c r="D36" s="1"/>
  <c r="D37" s="1"/>
  <c r="D23"/>
  <c r="D25"/>
  <c r="H3" i="14"/>
  <c r="L19" l="1"/>
  <c r="J20"/>
  <c r="K20" s="1"/>
  <c r="I21"/>
  <c r="A23"/>
  <c r="A20"/>
  <c r="A10"/>
  <c r="A22"/>
  <c r="A18"/>
  <c r="A11"/>
  <c r="A14"/>
  <c r="A19"/>
  <c r="A16"/>
  <c r="A9"/>
  <c r="A6"/>
  <c r="A4"/>
  <c r="A21"/>
  <c r="A17"/>
  <c r="A5"/>
  <c r="A15"/>
  <c r="A12"/>
  <c r="A8"/>
  <c r="A13"/>
  <c r="A7"/>
  <c r="K3"/>
  <c r="L20" l="1"/>
  <c r="J21"/>
  <c r="K21" s="1"/>
  <c r="I22"/>
  <c r="M3"/>
  <c r="M4" s="1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N3"/>
  <c r="N4" s="1"/>
  <c r="N5" s="1"/>
  <c r="N6" s="1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L21" l="1"/>
  <c r="J22"/>
  <c r="K22" s="1"/>
  <c r="I23"/>
  <c r="L22" l="1"/>
  <c r="M22"/>
  <c r="N22"/>
  <c r="J23"/>
  <c r="D29" s="1"/>
  <c r="I24"/>
  <c r="K23" l="1"/>
  <c r="J24"/>
  <c r="M23"/>
  <c r="D30" s="1"/>
  <c r="K24" l="1"/>
  <c r="N23"/>
  <c r="E30" s="1"/>
  <c r="E29"/>
  <c r="L23"/>
</calcChain>
</file>

<file path=xl/sharedStrings.xml><?xml version="1.0" encoding="utf-8"?>
<sst xmlns="http://schemas.openxmlformats.org/spreadsheetml/2006/main" count="509" uniqueCount="391">
  <si>
    <t>PREFEITURA MUNICIPAL DE GASPAR-SC   - SETOR DE PLANEJAMENTO URBANO</t>
  </si>
  <si>
    <t>COMPOSIÇÃO DADOS, INDICES E CUSTOS PARA ELABORAR A TARIFA DO TRANSPORTE COLETIVO URBANO DE GASPAR-SC</t>
  </si>
  <si>
    <t>CUSTO VARIÁVEL</t>
  </si>
  <si>
    <t>CUSTO FIXO</t>
  </si>
  <si>
    <t>(l/km)</t>
  </si>
  <si>
    <t>Coef. consumo combustível p/Micro</t>
  </si>
  <si>
    <t>(anos)</t>
  </si>
  <si>
    <t>Vida economicamente útil veículo Micro</t>
  </si>
  <si>
    <t>Coef. consumo combustível p/veíc. convencional</t>
  </si>
  <si>
    <t>Vida economicamente útil veíc. convencional</t>
  </si>
  <si>
    <t>Coeficiente de consumo de lubrificantes</t>
  </si>
  <si>
    <t>(%)</t>
  </si>
  <si>
    <t>Valor residual do veículo Micro</t>
  </si>
  <si>
    <t>(%/mês)</t>
  </si>
  <si>
    <t>Coef. cons. peças e acessórios p/veíc. Micro</t>
  </si>
  <si>
    <t>Valor residual do veículo convencional</t>
  </si>
  <si>
    <t>Coef. cons. peças e acessórios p/veíc. convencional</t>
  </si>
  <si>
    <t>Taxa de Remuneração do Capital (Juros)</t>
  </si>
  <si>
    <t>(unid.)</t>
  </si>
  <si>
    <t>Número de recapagens para veículo Micro</t>
  </si>
  <si>
    <t>Número de recapagens para veículo convencional</t>
  </si>
  <si>
    <t>(km)</t>
  </si>
  <si>
    <t>Vida útil total do pneu para veículo Micro</t>
  </si>
  <si>
    <t>Vida útil total do pneu para veículo convencional</t>
  </si>
  <si>
    <t>ISS</t>
  </si>
  <si>
    <t>INSS</t>
  </si>
  <si>
    <t>PIS</t>
  </si>
  <si>
    <t>COFINS</t>
  </si>
  <si>
    <t>COMPOSIÇÃO BÁSICA DE DADOS PARA O TRANSPORTE COLETIVO URBANO DE GASPAR-SC</t>
  </si>
  <si>
    <t>Km Anual</t>
  </si>
  <si>
    <t>Média Mensal</t>
  </si>
  <si>
    <t>1. CUSTO VARIÁVEL</t>
  </si>
  <si>
    <t>Composição de dados Básicos</t>
  </si>
  <si>
    <t>a) Dados de preços de insumos</t>
  </si>
  <si>
    <t xml:space="preserve">b) Dados operacionais </t>
  </si>
  <si>
    <t>a.1.) Insumos básicos</t>
  </si>
  <si>
    <t>BS500</t>
  </si>
  <si>
    <t>BS10</t>
  </si>
  <si>
    <t xml:space="preserve">Valor de um litro de diesel </t>
  </si>
  <si>
    <t>(orçamento realizados para grandes consumidores)</t>
  </si>
  <si>
    <t>Micro</t>
  </si>
  <si>
    <t>Convencional</t>
  </si>
  <si>
    <t>Valor de um pneu novo</t>
  </si>
  <si>
    <t>Valor de uma reacapagem</t>
  </si>
  <si>
    <t>Preço de um chassi mais carroceria do Veículo</t>
  </si>
  <si>
    <t>Cesta Básita (Anual, no mês de Dezembro)</t>
  </si>
  <si>
    <t>Tiquete - Auxilio Alimentação</t>
  </si>
  <si>
    <t>Uniforme da Operação (2 conjuntos por ano)</t>
  </si>
  <si>
    <t>Uniforme da Manutenção(2 conjuntos por ano)</t>
  </si>
  <si>
    <t>a.2.) Seguros e taxas</t>
  </si>
  <si>
    <t xml:space="preserve">unit. </t>
  </si>
  <si>
    <t>Valor anual do licenciamento, seguro obrigatório e despachante</t>
  </si>
  <si>
    <t>R$/ano</t>
  </si>
  <si>
    <t>Quantidade de veículos</t>
  </si>
  <si>
    <t>unit.</t>
  </si>
  <si>
    <t>Valor Parcial de Seguros/ano</t>
  </si>
  <si>
    <t>Valor Total de Seguros/ano</t>
  </si>
  <si>
    <t xml:space="preserve">b) Dados Operacionais </t>
  </si>
  <si>
    <t>b.1.) Composição da Frota</t>
  </si>
  <si>
    <t>Total</t>
  </si>
  <si>
    <t>Frota Efetiva em Operação</t>
  </si>
  <si>
    <t>Frota de Reserva Técnica</t>
  </si>
  <si>
    <t>Frotal Total</t>
  </si>
  <si>
    <t xml:space="preserve">Percentual de Frota Reser. </t>
  </si>
  <si>
    <t>b.2.) Quilometragem mensal</t>
  </si>
  <si>
    <t>Quilometragem Efetiva</t>
  </si>
  <si>
    <t>Quilometragem Osiosa</t>
  </si>
  <si>
    <t>Tota de Quilometragem</t>
  </si>
  <si>
    <t>Perc (%) de km Ocioso</t>
  </si>
  <si>
    <t>b.3.) Passageiros Transportados</t>
  </si>
  <si>
    <t xml:space="preserve">unid. </t>
  </si>
  <si>
    <t>Total de Passageiros Transportados Equiv. (2015)</t>
  </si>
  <si>
    <t>(Pas.  Equiv./mês)</t>
  </si>
  <si>
    <t>b.4.) Vida útil</t>
  </si>
  <si>
    <t>unid.</t>
  </si>
  <si>
    <t>Idade de vida útil</t>
  </si>
  <si>
    <t xml:space="preserve">Anos </t>
  </si>
  <si>
    <t>b.5.) Resídual</t>
  </si>
  <si>
    <t>Valor Resídual do Veículo</t>
  </si>
  <si>
    <t>Percentual</t>
  </si>
  <si>
    <t>b.6.) Frota - Estimada</t>
  </si>
  <si>
    <t>Classificação Etária da Frota</t>
  </si>
  <si>
    <t>Idade</t>
  </si>
  <si>
    <t>Veículos até 1 ano</t>
  </si>
  <si>
    <t>Veículos até 2 anos</t>
  </si>
  <si>
    <t>Veículos até 3 anos</t>
  </si>
  <si>
    <t>Veículos até 4 anos</t>
  </si>
  <si>
    <t>Veículos até 5 anos</t>
  </si>
  <si>
    <t>Veículos até 6 anos</t>
  </si>
  <si>
    <t>Veículos até 7 anos</t>
  </si>
  <si>
    <t>Veículos até 8 anos</t>
  </si>
  <si>
    <t>Veículos até 9 anos</t>
  </si>
  <si>
    <t>Veículos até 10 anos</t>
  </si>
  <si>
    <t>Veículos até 11 anos</t>
  </si>
  <si>
    <t>Veículos até 12 anos</t>
  </si>
  <si>
    <t>Veículos até 13 anos</t>
  </si>
  <si>
    <t>Veículos até 14 anos</t>
  </si>
  <si>
    <t>Veículos até 15 anos</t>
  </si>
  <si>
    <t>Total por veículo</t>
  </si>
  <si>
    <t>Total de veículos</t>
  </si>
  <si>
    <t>Idade média da frota (anos)</t>
  </si>
  <si>
    <t>ENCARGOS SOCIAIS-Motoristas</t>
  </si>
  <si>
    <t>GRUPO A</t>
  </si>
  <si>
    <t>- Acidente de trabalho</t>
  </si>
  <si>
    <t>- Salário educação</t>
  </si>
  <si>
    <t>- INCRA</t>
  </si>
  <si>
    <t>- SEST/SENAT</t>
  </si>
  <si>
    <t>- SESI/SESC</t>
  </si>
  <si>
    <t>- SEBRAE</t>
  </si>
  <si>
    <t>- FGTS</t>
  </si>
  <si>
    <t>GRUPO B</t>
  </si>
  <si>
    <t xml:space="preserve">- Abono de Férias </t>
  </si>
  <si>
    <t>- Aviso Prévio Trabalhado</t>
  </si>
  <si>
    <t>- Licença paternidade</t>
  </si>
  <si>
    <t>- Licença funeral</t>
  </si>
  <si>
    <t>- Licença Casamento</t>
  </si>
  <si>
    <t>- Décimo Terceiro Salário</t>
  </si>
  <si>
    <t>- Adicional Noturno</t>
  </si>
  <si>
    <t>GRUPO C</t>
  </si>
  <si>
    <t>Depósito por recisão</t>
  </si>
  <si>
    <t>Aviso Prévio Indenizado</t>
  </si>
  <si>
    <t>Indenização Adicional</t>
  </si>
  <si>
    <t>TOTAL DO GRUPO D</t>
  </si>
  <si>
    <t>INCIDÊNCIA CUMULATIVA</t>
  </si>
  <si>
    <t>- Grupo A x Grupo B</t>
  </si>
  <si>
    <t>TOTAL GERAL</t>
  </si>
  <si>
    <t>1.1 DESPESAS DE COMBUSTÍVEL</t>
  </si>
  <si>
    <t>Descrição</t>
  </si>
  <si>
    <t>Quilometragem média mensal</t>
  </si>
  <si>
    <t>km</t>
  </si>
  <si>
    <t>Rendimento óleo diesel</t>
  </si>
  <si>
    <t>L/km</t>
  </si>
  <si>
    <t xml:space="preserve">         Custos de óleo diesel</t>
  </si>
  <si>
    <t xml:space="preserve">                 Tipo do óleo</t>
  </si>
  <si>
    <t xml:space="preserve">                 Consumo/mês (L)</t>
  </si>
  <si>
    <t xml:space="preserve">                 Valor do óleo Diesel / (L)</t>
  </si>
  <si>
    <t>Subtotal</t>
  </si>
  <si>
    <t>Total/mês</t>
  </si>
  <si>
    <t>1.2 DESPESAS DE LUBRIFICANTES</t>
  </si>
  <si>
    <t>Ind. Consumo (l/km)</t>
  </si>
  <si>
    <t xml:space="preserve">Total de lubrificantes/ Km </t>
  </si>
  <si>
    <t>DESPESAS DE LUBRIFICANTES POR VEÍCULO</t>
  </si>
  <si>
    <t xml:space="preserve">Quilometragem média mensal </t>
  </si>
  <si>
    <t>Despesa com Lubrificantes</t>
  </si>
  <si>
    <t xml:space="preserve">1.3 DESPESAS COM MATERIAL DE RODAGEM </t>
  </si>
  <si>
    <t>Vida útil de um pneu novo (km)</t>
  </si>
  <si>
    <t>Cálculo das despesas com material de rodagem</t>
  </si>
  <si>
    <t>Quilometragem mensal</t>
  </si>
  <si>
    <t>Custo total de rodagem / mês</t>
  </si>
  <si>
    <t>1.4 DESPESAS COM PEÇAS E ACESSÓRIOS </t>
  </si>
  <si>
    <t xml:space="preserve">Preço unitário dos veículos </t>
  </si>
  <si>
    <t>Coeficiente</t>
  </si>
  <si>
    <t>Peças e acessórios (R$/km)</t>
  </si>
  <si>
    <t>Custo total</t>
  </si>
  <si>
    <t>Custo total de peças e acessórios / mês</t>
  </si>
  <si>
    <t>RESUMO CUSTO VARIÁVEL</t>
  </si>
  <si>
    <t xml:space="preserve">Custo variável total </t>
  </si>
  <si>
    <t>Custo variável total  / km</t>
  </si>
  <si>
    <t>Custo variável total  / km (Média ponderada)</t>
  </si>
  <si>
    <t>Custo Variável Total Mensal</t>
  </si>
  <si>
    <t>Custo Variável Total Anual</t>
  </si>
  <si>
    <t>Valor unitário/l</t>
  </si>
  <si>
    <t>Valor total/km</t>
  </si>
  <si>
    <t>PREFEITURA MUNICIPAL DE GASPAR-SC    SETOR DE PLANEJAMENTO URBANO</t>
  </si>
  <si>
    <t>2. CUSTO FIXO MENSAL</t>
  </si>
  <si>
    <t>2.1 DESPESAS COM MOTORISTAS</t>
  </si>
  <si>
    <t>Salário Base de Motorisa</t>
  </si>
  <si>
    <t>Encargos Sociais</t>
  </si>
  <si>
    <t>Salário com Encargos Sociais</t>
  </si>
  <si>
    <t>Motoristas</t>
  </si>
  <si>
    <t>TOTAL MOTORISTAS</t>
  </si>
  <si>
    <t>TOTAL MOTORISTAS/KM</t>
  </si>
  <si>
    <t>2.2 DESPESAS COM FISCALIZAÇÃO</t>
  </si>
  <si>
    <t>Salário Base de Fiscal</t>
  </si>
  <si>
    <t>Fiscais</t>
  </si>
  <si>
    <t>TOTAL FISCALIZAÇÃO</t>
  </si>
  <si>
    <t>TOTAL FISCALIZAÇÃO/KM</t>
  </si>
  <si>
    <t>2.3 DESPESAS COM MECÂNICO</t>
  </si>
  <si>
    <t>Salário Base de Mecânico</t>
  </si>
  <si>
    <t>TOTAL MECÂNICOS</t>
  </si>
  <si>
    <t>TOTAL MECÂNICOS/KM</t>
  </si>
  <si>
    <t>2.4 DESPESAS COM PESSOAL ADMINISTRATIVO</t>
  </si>
  <si>
    <t>Salário Base de Administrativo</t>
  </si>
  <si>
    <t>Salário Base de Auxiliar Administrativo</t>
  </si>
  <si>
    <t>Salário Gerente</t>
  </si>
  <si>
    <t>Total sem encargos</t>
  </si>
  <si>
    <t>Total de Despesas com Seguros Obrigatório/Mês</t>
  </si>
  <si>
    <t>Total de Despesas com Seguros Obrigatório/Ano</t>
  </si>
  <si>
    <t>TOTAL COM SEGUROS</t>
  </si>
  <si>
    <t>TOTAL COM SEGUROS/KM</t>
  </si>
  <si>
    <t xml:space="preserve">TOTAL DESPESAS DIVERSAS </t>
  </si>
  <si>
    <t>TOTAL DESPESAS DIVERSAS / KM</t>
  </si>
  <si>
    <t>Total de ativos imobilizados</t>
  </si>
  <si>
    <t>Valor de remuneração anual</t>
  </si>
  <si>
    <t>12% a.a.</t>
  </si>
  <si>
    <t>Remuneração de capital anual</t>
  </si>
  <si>
    <t>Remuneração de Capital / mês.KM</t>
  </si>
  <si>
    <t>Taxa residual (r.)</t>
  </si>
  <si>
    <t>Ano final (n)</t>
  </si>
  <si>
    <t>Custo do veículo novo (C.)</t>
  </si>
  <si>
    <t>Valor no ano final (Vn)</t>
  </si>
  <si>
    <t>Depreciação do veículo por ano</t>
  </si>
  <si>
    <t>Depreciação no ano 01</t>
  </si>
  <si>
    <t>Depreciação no ano 02</t>
  </si>
  <si>
    <t>Depreciação no ano 03</t>
  </si>
  <si>
    <t>Depreciação no ano 04</t>
  </si>
  <si>
    <t>Depreciação no ano 05</t>
  </si>
  <si>
    <t>Depreciação no ano 06</t>
  </si>
  <si>
    <t>Depreciação no ano 07</t>
  </si>
  <si>
    <t>Depreciação no ano 08</t>
  </si>
  <si>
    <t>Depreciação no ano 09</t>
  </si>
  <si>
    <t>Depreciação no ano 10</t>
  </si>
  <si>
    <t>Frota estabelecida</t>
  </si>
  <si>
    <t>Depreciação total por ano</t>
  </si>
  <si>
    <t>Depreciação Total / mês</t>
  </si>
  <si>
    <t>Depreciação Total / mês.KM</t>
  </si>
  <si>
    <t>RESUMO CUSTO FIXO</t>
  </si>
  <si>
    <t>Custo Total Mensal</t>
  </si>
  <si>
    <t>Custo Total Mensal/KM</t>
  </si>
  <si>
    <t>Custo Total Anual</t>
  </si>
  <si>
    <t>Receita eventual proveniente de Busdoor</t>
  </si>
  <si>
    <t>ITEM</t>
  </si>
  <si>
    <t>DESCRIÇÃO</t>
  </si>
  <si>
    <t>TAMANHO</t>
  </si>
  <si>
    <t>VALOR</t>
  </si>
  <si>
    <t>VIDRO TRASEIRO EXTERNO</t>
  </si>
  <si>
    <t>2,00m x 1.00 = 2,00m²</t>
  </si>
  <si>
    <t>VIDRO TRASEIRO INTERNO</t>
  </si>
  <si>
    <t>2,00m x 1.00 = 2,00m</t>
  </si>
  <si>
    <t>VIDROS ATRÁS DO MOTORISTA</t>
  </si>
  <si>
    <t>0.50m x 0.70m = 0.35m²</t>
  </si>
  <si>
    <t>Total das receitas eventuais provenientes de Busdoor</t>
  </si>
  <si>
    <t>ONIBUS</t>
  </si>
  <si>
    <t>Receita eventual proveniente de publicidade nos pontos de ônibus</t>
  </si>
  <si>
    <t>ESPAÇO NO PONTO DE ÔNIBUS</t>
  </si>
  <si>
    <t>Total das receitas eventuais proveniente de publicidade nos pontos de ônibus</t>
  </si>
  <si>
    <t>PONTOS DE ÔNIBUS</t>
  </si>
  <si>
    <t>Total mensal</t>
  </si>
  <si>
    <t>Total anual</t>
  </si>
  <si>
    <t xml:space="preserve">                         IMPOSTOS  E TAXAS:</t>
  </si>
  <si>
    <t>CONFINS</t>
  </si>
  <si>
    <t>ISSQN</t>
  </si>
  <si>
    <t>TOTAL</t>
  </si>
  <si>
    <t>Total das receitas eventuais proveniente de publicidade nos pontos de ônibus e busdoor  -  COM IMPOSTOS</t>
  </si>
  <si>
    <t>RESUMO CUSTO FIXO E VARÁVEL</t>
  </si>
  <si>
    <t>TAXA DE GERENCIAMENTO</t>
  </si>
  <si>
    <t>IPK</t>
  </si>
  <si>
    <t>VALOR DA TARIFA</t>
  </si>
  <si>
    <t>VALOR DA TARIFA NOMINAL</t>
  </si>
  <si>
    <t>PAGANTES ( CARTÃO)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</si>
  <si>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</si>
  <si>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</si>
  <si>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</si>
  <si>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</si>
  <si>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</si>
  <si>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</si>
  <si>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</si>
  <si>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</si>
  <si>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</si>
  <si>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</si>
  <si>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</si>
  <si>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</si>
  <si>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SUB-TOTAL</t>
  </si>
  <si>
    <t>A - Média Mensal de Passageiros</t>
  </si>
  <si>
    <t>B - Indice de Equivalência</t>
  </si>
  <si>
    <t>A x B = Passageiros Equivalentes</t>
  </si>
  <si>
    <t xml:space="preserve">C - Somatório de Passageiro Equivalente: </t>
  </si>
  <si>
    <t>D - Médial mensal de quilôletros rodados:</t>
  </si>
  <si>
    <t>C.1.) Dados básicos de passageiros</t>
  </si>
  <si>
    <t>COMBUSTÍVEL</t>
  </si>
  <si>
    <t>2.5 DESPESAS DIVERSAS</t>
  </si>
  <si>
    <t>Óleo do motor (Troca com 20mil km)</t>
  </si>
  <si>
    <t>Óleo da Caixa de Mudança (Troca com 50mil km)</t>
  </si>
  <si>
    <t>Óleo de Freio (Troca com 45mil km)</t>
  </si>
  <si>
    <t>Óleo da Transmissão (Troca com 120mil km )</t>
  </si>
  <si>
    <t>Graxa</t>
  </si>
  <si>
    <t>E - Coeficiênte de Percurso Improdutivo</t>
  </si>
  <si>
    <t>F - Percurso Mensal Improdutivo</t>
  </si>
  <si>
    <t>G - Percurso Mensal Produtivo</t>
  </si>
  <si>
    <t>H - IPK = C/G</t>
  </si>
  <si>
    <t>TOTAL PESSOAL ADMINISTRATIVO</t>
  </si>
  <si>
    <t>TOTAL PESSOAL ADMINISTRATIVO/KM</t>
  </si>
  <si>
    <t>Despesas de Energia</t>
  </si>
  <si>
    <t>Despesas de Água</t>
  </si>
  <si>
    <t>Despesas com Mateiral de Expediente</t>
  </si>
  <si>
    <t>Fator de depreciação por ano - Método de Cole</t>
  </si>
  <si>
    <t xml:space="preserve">Total de lubrificantes / mês </t>
  </si>
  <si>
    <t>Coeficiente Mensal</t>
  </si>
  <si>
    <t>PMM - Percurso Médio Mensal</t>
  </si>
  <si>
    <t>Infra estrutura de garagem</t>
  </si>
  <si>
    <t>CÁLCULO TRIBUTÁRIO - REGIME DE CÁLCULO: LUCRO REAL</t>
  </si>
  <si>
    <t>BASE DE CÁLCULO</t>
  </si>
  <si>
    <t>ALÍQUOTAS IMPOSTOS SOBRE A RENDA (RENDA ATÉ R$ 240.000,00/ANO)</t>
  </si>
  <si>
    <t>CONTRIBUIÇÃO SOCIAL</t>
  </si>
  <si>
    <t>IMPOSTO DE RENDA</t>
  </si>
  <si>
    <t>CUSTO FIXO E VARIÁVEL MENSAL</t>
  </si>
  <si>
    <t>TOTAL DE IMPOSTOS E TAXAS</t>
  </si>
  <si>
    <t>TOTAL DE CUSTOS + IMPOSTOS E TAXAS</t>
  </si>
  <si>
    <t>TOTAL DE CUSTOS + IMPOSTOS E TAXAS / KM</t>
  </si>
  <si>
    <t>TAXA DE CRESCIMENTO</t>
  </si>
  <si>
    <t>CUSTO FIXO E VARIÁVEL MENSAL - TOTAL RECEITA EVENTUAL / KM</t>
  </si>
  <si>
    <t>VALOR DA TARIFA SEM TAXA DE GERENCIAMENTO</t>
  </si>
  <si>
    <t>PERCENTUAL DE CUSTOS E IMPOSTOS</t>
  </si>
  <si>
    <t>TOTAL DE CUSTOS + IMPOSTOS SEM TAXA DE GERENCIAMENTO</t>
  </si>
  <si>
    <t xml:space="preserve">TOTAL DE CUSTOS + IMPOSTOS SEM TAXA DE GERENCIAMENTO/KM </t>
  </si>
  <si>
    <t>TOTAL DE IMPOSTOS</t>
  </si>
  <si>
    <t xml:space="preserve">PERCENTUAL DE IMPOSTOS </t>
  </si>
  <si>
    <t>PERCENTUAL DE CUSTOS FIXOS E VARIÁVEIS - RECEITA EVENTUAL</t>
  </si>
  <si>
    <t>PERCENTUAL DE IMPOSTOS  E TAXAS</t>
  </si>
  <si>
    <t>TOTAL TAXA DE GERENCIAMENTO</t>
  </si>
  <si>
    <t>PERCENTUAL DE GERENCIAMENTO</t>
  </si>
  <si>
    <t>Custo total de veículos novos</t>
  </si>
  <si>
    <t>Nº de pneus por ônibus</t>
  </si>
  <si>
    <t>Depreciação no ano 11</t>
  </si>
  <si>
    <t>Depreciação no ano 12</t>
  </si>
  <si>
    <t>Depreciação no ano 13</t>
  </si>
  <si>
    <t>Depreciação no ano 14</t>
  </si>
  <si>
    <t>Depreciação no ano 15</t>
  </si>
  <si>
    <t>Custo Unitário</t>
  </si>
  <si>
    <t>Custo da Frota</t>
  </si>
  <si>
    <t>Total Frota</t>
  </si>
  <si>
    <t>BOTUEIRA (DINHEIRO)</t>
  </si>
  <si>
    <t>ESTUDANTES (MEIA)</t>
  </si>
  <si>
    <t>Depreciação total por mês x veículo</t>
  </si>
  <si>
    <t>INVESTIMENTO</t>
  </si>
  <si>
    <t>RECEITA PROJETADA</t>
  </si>
  <si>
    <t>VPL</t>
  </si>
  <si>
    <t>FC LIQUÍDO ACUMULADO</t>
  </si>
  <si>
    <t>Payback</t>
  </si>
  <si>
    <t>Payback Descontado</t>
  </si>
  <si>
    <t>CORREÇÃO IPCA</t>
  </si>
  <si>
    <t>Custo Oportunidade</t>
  </si>
  <si>
    <t>Bruto</t>
  </si>
  <si>
    <t>TIR</t>
  </si>
  <si>
    <t>&lt;0</t>
  </si>
  <si>
    <t>RECEITA EVENTUAL MENSAL</t>
  </si>
  <si>
    <t>RETORNO ESPERADO + RECEITA EVENTUAL</t>
  </si>
  <si>
    <t>RETORNO ESPERADO</t>
  </si>
  <si>
    <t>CUSTO VARIAVEL</t>
  </si>
  <si>
    <t>- INSS</t>
  </si>
  <si>
    <t>Depreciação total anual por veículo</t>
  </si>
  <si>
    <t>Nº de Recapagem p/ ônibus (2 recapagens por pneu x 6 pneus)</t>
  </si>
  <si>
    <t xml:space="preserve">Vida útil de um recapado (km) </t>
  </si>
  <si>
    <t>Vida útil do Pneu com sobre vida de 2 recapagens</t>
  </si>
  <si>
    <t>Valor total com 2 recapagens</t>
  </si>
  <si>
    <t>Valor de um jogo de pneus (6pneus)</t>
  </si>
  <si>
    <t xml:space="preserve">Valor de um jogo de pneus (6pneus)/km </t>
  </si>
  <si>
    <t>Vida útil do Pneu</t>
  </si>
  <si>
    <t>Salário Base Auxiliar de Mecânico</t>
  </si>
  <si>
    <t xml:space="preserve">Auxiliares  </t>
  </si>
  <si>
    <t xml:space="preserve">Mecânicos </t>
  </si>
  <si>
    <t>Salário com Encargos Sociais (Mecânico)</t>
  </si>
  <si>
    <t>Salário com Encargos Sociais (Auxiliar)</t>
  </si>
  <si>
    <t>Plano de Saúde</t>
  </si>
  <si>
    <t>2.6 DESPESAS COM REMUNERAÇÃO DE CAPITAL</t>
  </si>
  <si>
    <t>2.7 DESPESAS COM SEGUROS</t>
  </si>
  <si>
    <t>2.8 REPOSIÇÃO DOS ATIVOS  - VEÍCULOS</t>
  </si>
  <si>
    <t>RECEITAS ACESSÓRIAS</t>
  </si>
  <si>
    <t xml:space="preserve">CONFINS </t>
  </si>
  <si>
    <t>PROJEÇÃO DE CRESCIMENTO - PASSAGEIROS EQUIVALENTES</t>
  </si>
  <si>
    <t xml:space="preserve">Segurança do terminal </t>
  </si>
  <si>
    <t xml:space="preserve">Rodeadores, Plano de dados e manutenção de equipamentos </t>
  </si>
  <si>
    <t>Aluguel de terreno para instalar a Garagem e imóveis</t>
  </si>
  <si>
    <t>Remuneração de capital mensal referente ao capital</t>
  </si>
  <si>
    <t>Remuneração de Capital + auguel / mês</t>
  </si>
  <si>
    <t>LUBRIFICANTE</t>
  </si>
  <si>
    <t>RODAGEM</t>
  </si>
  <si>
    <t>PEÇAS E ACESSÓRIOS</t>
  </si>
  <si>
    <t>VALORES</t>
  </si>
  <si>
    <t>DESPESAS COM MOTORISTAS</t>
  </si>
  <si>
    <t>DESPESAS COM FISCALIZAÇÃO</t>
  </si>
  <si>
    <t>DESPESAS COM MECÂNICO</t>
  </si>
  <si>
    <t>DESPESAS COM PESSOAL ADMINISTRATIVO</t>
  </si>
  <si>
    <t>DESPESAS DIVERSAS</t>
  </si>
  <si>
    <t>DESPESAS COM REMUNERAÇÃO DE CAPITAL</t>
  </si>
  <si>
    <t>DESPESAS COM SEGUROS</t>
  </si>
  <si>
    <t>REPOSIÇÃO DOS ATIVOS  - VEÍCULOS</t>
  </si>
  <si>
    <t>TOTAL DE CUSTOS FIXOS E VARIÁVEIS</t>
  </si>
  <si>
    <t>PARTICIPAÇÃO DO CUSTO TOTAL</t>
  </si>
  <si>
    <t>Rendimento óleo diesel (média ponderada)</t>
  </si>
  <si>
    <t>S10</t>
  </si>
  <si>
    <t>Total das receitas eventuais proveniente de publicidade nos pontos de ônibus, busdoor e aluguel das salas</t>
  </si>
  <si>
    <t>Receita eventual proveniente das salas que estão no terminal urbano</t>
  </si>
  <si>
    <t>SALAS COMERCIAIS</t>
  </si>
  <si>
    <t>VALOR UNITÁRIO</t>
  </si>
  <si>
    <t xml:space="preserve">Imóveis contidos no terreno (escritório 40m² x R$ 2000,00/m²) </t>
  </si>
  <si>
    <t>Limpeza do Escritório, Garagem e Terminal</t>
  </si>
  <si>
    <t>INSS * Desoneração</t>
  </si>
  <si>
    <t xml:space="preserve">desoneração -considerar </t>
  </si>
  <si>
    <t>PLANILHA DE PROJEÇÃO DE PASSAGEIROS 2018</t>
  </si>
  <si>
    <t/>
  </si>
</sst>
</file>

<file path=xl/styles.xml><?xml version="1.0" encoding="utf-8"?>
<styleSheet xmlns="http://schemas.openxmlformats.org/spreadsheetml/2006/main">
  <numFmts count="22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_-&quot;R$&quot;\ * #,##0.000_-;\-&quot;R$&quot;\ * #,##0.000_-;_-&quot;R$&quot;\ * &quot;-&quot;???_-;_-@_-"/>
    <numFmt numFmtId="167" formatCode="0.000"/>
    <numFmt numFmtId="168" formatCode="0.00000"/>
    <numFmt numFmtId="169" formatCode="_-&quot;R$&quot;\ * #,##0.00000_-;\-&quot;R$&quot;\ * #,##0.00000_-;_-&quot;R$&quot;\ * &quot;-&quot;?????_-;_-@_-"/>
    <numFmt numFmtId="170" formatCode="0.00000000"/>
    <numFmt numFmtId="171" formatCode="_-&quot;R$&quot;\ * #,##0.0000_-;\-&quot;R$&quot;\ * #,##0.0000_-;_-&quot;R$&quot;\ * &quot;-&quot;????_-;_-@_-"/>
    <numFmt numFmtId="172" formatCode="0.0000000_ ;\-0.0000000\ "/>
    <numFmt numFmtId="173" formatCode="#.##0"/>
    <numFmt numFmtId="174" formatCode="0.0000000"/>
    <numFmt numFmtId="175" formatCode="0.0"/>
    <numFmt numFmtId="176" formatCode="#,##0_ ;\-#,##0\ "/>
    <numFmt numFmtId="177" formatCode="0.000%"/>
    <numFmt numFmtId="178" formatCode="0.0000%"/>
    <numFmt numFmtId="179" formatCode="0.0%"/>
    <numFmt numFmtId="180" formatCode="0\ &quot;anos&quot;"/>
    <numFmt numFmtId="181" formatCode="#,##0.000_ ;\-#,##0.000\ "/>
    <numFmt numFmtId="182" formatCode="_-&quot;R$&quot;\ * #,##0.00000000_-;\-&quot;R$&quot;\ * #,##0.00000000_-;_-&quot;R$&quot;\ * &quot;-&quot;????????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u/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mediumGray">
        <fgColor indexed="9"/>
        <bgColor theme="7" tint="0.39997558519241921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</cellStyleXfs>
  <cellXfs count="42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ont="1" applyFill="1"/>
    <xf numFmtId="0" fontId="4" fillId="2" borderId="0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/>
      <protection hidden="1"/>
    </xf>
    <xf numFmtId="0" fontId="0" fillId="2" borderId="1" xfId="0" applyFill="1" applyBorder="1" applyAlignment="1">
      <alignment horizontal="left"/>
    </xf>
    <xf numFmtId="0" fontId="6" fillId="0" borderId="1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>
      <alignment horizontal="left"/>
    </xf>
    <xf numFmtId="0" fontId="6" fillId="0" borderId="1" xfId="0" applyFont="1" applyBorder="1" applyAlignment="1" applyProtection="1">
      <alignment horizontal="center"/>
      <protection hidden="1"/>
    </xf>
    <xf numFmtId="10" fontId="5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/>
    <xf numFmtId="0" fontId="0" fillId="2" borderId="0" xfId="0" applyFill="1" applyBorder="1"/>
    <xf numFmtId="0" fontId="9" fillId="2" borderId="0" xfId="0" applyFont="1" applyFill="1" applyBorder="1"/>
    <xf numFmtId="0" fontId="9" fillId="2" borderId="0" xfId="0" applyFont="1" applyFill="1"/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6" fontId="1" fillId="2" borderId="1" xfId="1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44" fontId="1" fillId="2" borderId="1" xfId="1" applyFont="1" applyFill="1" applyBorder="1"/>
    <xf numFmtId="0" fontId="2" fillId="4" borderId="1" xfId="0" applyFont="1" applyFill="1" applyBorder="1" applyAlignment="1"/>
    <xf numFmtId="49" fontId="2" fillId="4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4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44" fontId="2" fillId="2" borderId="3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10" fontId="0" fillId="2" borderId="1" xfId="2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4" fontId="0" fillId="2" borderId="1" xfId="0" applyNumberFormat="1" applyFont="1" applyFill="1" applyBorder="1" applyAlignment="1">
      <alignment horizontal="center" vertical="center"/>
    </xf>
    <xf numFmtId="10" fontId="0" fillId="2" borderId="1" xfId="2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/>
    </xf>
    <xf numFmtId="9" fontId="0" fillId="2" borderId="1" xfId="0" applyNumberFormat="1" applyFont="1" applyFill="1" applyBorder="1" applyAlignment="1">
      <alignment horizontal="center"/>
    </xf>
    <xf numFmtId="0" fontId="0" fillId="0" borderId="5" xfId="0" applyFont="1" applyBorder="1" applyAlignment="1"/>
    <xf numFmtId="0" fontId="0" fillId="0" borderId="1" xfId="0" applyBorder="1"/>
    <xf numFmtId="0" fontId="11" fillId="4" borderId="1" xfId="3" applyFont="1" applyFill="1" applyBorder="1"/>
    <xf numFmtId="0" fontId="11" fillId="4" borderId="1" xfId="3" applyFont="1" applyFill="1" applyBorder="1" applyAlignment="1">
      <alignment horizontal="left" indent="1"/>
    </xf>
    <xf numFmtId="49" fontId="11" fillId="4" borderId="1" xfId="3" applyNumberFormat="1" applyFont="1" applyFill="1" applyBorder="1" applyAlignment="1">
      <alignment horizontal="left" indent="1"/>
    </xf>
    <xf numFmtId="49" fontId="9" fillId="0" borderId="1" xfId="3" applyNumberFormat="1" applyBorder="1" applyAlignment="1">
      <alignment vertical="center"/>
    </xf>
    <xf numFmtId="49" fontId="9" fillId="0" borderId="1" xfId="3" applyNumberFormat="1" applyBorder="1" applyAlignment="1">
      <alignment horizontal="left" indent="1"/>
    </xf>
    <xf numFmtId="49" fontId="11" fillId="4" borderId="1" xfId="3" applyNumberFormat="1" applyFont="1" applyFill="1" applyBorder="1" applyAlignment="1">
      <alignment horizontal="left"/>
    </xf>
    <xf numFmtId="49" fontId="9" fillId="0" borderId="1" xfId="3" applyNumberFormat="1" applyFill="1" applyBorder="1" applyAlignment="1">
      <alignment horizontal="left" indent="1"/>
    </xf>
    <xf numFmtId="49" fontId="9" fillId="0" borderId="1" xfId="3" applyNumberFormat="1" applyBorder="1" applyAlignment="1">
      <alignment horizontal="left" vertical="center" indent="3"/>
    </xf>
    <xf numFmtId="0" fontId="0" fillId="0" borderId="1" xfId="0" applyBorder="1" applyAlignment="1">
      <alignment horizontal="center" vertical="center"/>
    </xf>
    <xf numFmtId="0" fontId="11" fillId="4" borderId="1" xfId="3" applyFont="1" applyFill="1" applyBorder="1" applyAlignment="1">
      <alignment horizontal="center" vertical="center"/>
    </xf>
    <xf numFmtId="10" fontId="11" fillId="4" borderId="1" xfId="3" applyNumberFormat="1" applyFont="1" applyFill="1" applyBorder="1" applyAlignment="1">
      <alignment horizontal="center" vertical="center"/>
    </xf>
    <xf numFmtId="10" fontId="0" fillId="0" borderId="1" xfId="4" applyNumberFormat="1" applyFont="1" applyBorder="1" applyAlignment="1">
      <alignment horizontal="center" vertical="center"/>
    </xf>
    <xf numFmtId="10" fontId="9" fillId="0" borderId="1" xfId="3" applyNumberFormat="1" applyBorder="1" applyAlignment="1">
      <alignment horizontal="center" vertical="center"/>
    </xf>
    <xf numFmtId="10" fontId="9" fillId="0" borderId="1" xfId="2" applyNumberFormat="1" applyFont="1" applyBorder="1" applyAlignment="1">
      <alignment horizontal="center" vertical="center"/>
    </xf>
    <xf numFmtId="0" fontId="9" fillId="0" borderId="1" xfId="3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2" borderId="1" xfId="1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5" borderId="1" xfId="0" applyFont="1" applyFill="1" applyBorder="1"/>
    <xf numFmtId="3" fontId="0" fillId="5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 vertical="center"/>
    </xf>
    <xf numFmtId="168" fontId="0" fillId="2" borderId="1" xfId="0" applyNumberFormat="1" applyFont="1" applyFill="1" applyBorder="1" applyAlignment="1">
      <alignment horizontal="center" vertical="center"/>
    </xf>
    <xf numFmtId="4" fontId="0" fillId="5" borderId="1" xfId="0" applyNumberFormat="1" applyFont="1" applyFill="1" applyBorder="1" applyAlignment="1">
      <alignment horizontal="center" vertical="center"/>
    </xf>
    <xf numFmtId="165" fontId="0" fillId="5" borderId="1" xfId="0" applyNumberFormat="1" applyFont="1" applyFill="1" applyBorder="1" applyAlignment="1">
      <alignment horizontal="center" vertical="center"/>
    </xf>
    <xf numFmtId="44" fontId="0" fillId="2" borderId="0" xfId="0" applyNumberFormat="1" applyFill="1"/>
    <xf numFmtId="0" fontId="2" fillId="2" borderId="1" xfId="0" applyFont="1" applyFill="1" applyBorder="1" applyAlignment="1">
      <alignment horizontal="center" vertical="center"/>
    </xf>
    <xf numFmtId="10" fontId="0" fillId="5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5" fontId="2" fillId="4" borderId="1" xfId="0" applyNumberFormat="1" applyFont="1" applyFill="1" applyBorder="1" applyAlignment="1">
      <alignment horizontal="center" vertical="center"/>
    </xf>
    <xf numFmtId="44" fontId="0" fillId="2" borderId="1" xfId="0" applyNumberFormat="1" applyFill="1" applyBorder="1"/>
    <xf numFmtId="44" fontId="2" fillId="4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15" fillId="0" borderId="0" xfId="1" applyFont="1"/>
    <xf numFmtId="3" fontId="0" fillId="0" borderId="0" xfId="0" applyNumberFormat="1"/>
    <xf numFmtId="0" fontId="15" fillId="0" borderId="0" xfId="0" applyFont="1" applyAlignment="1">
      <alignment horizontal="center" vertical="center"/>
    </xf>
    <xf numFmtId="0" fontId="0" fillId="0" borderId="0" xfId="0" applyFont="1" applyFill="1" applyBorder="1"/>
    <xf numFmtId="44" fontId="15" fillId="0" borderId="0" xfId="0" applyNumberFormat="1" applyFont="1"/>
    <xf numFmtId="49" fontId="9" fillId="2" borderId="1" xfId="3" applyNumberFormat="1" applyFill="1" applyBorder="1" applyAlignment="1"/>
    <xf numFmtId="9" fontId="0" fillId="2" borderId="0" xfId="2" applyFont="1" applyFill="1"/>
    <xf numFmtId="44" fontId="0" fillId="2" borderId="0" xfId="1" applyFont="1" applyFill="1"/>
    <xf numFmtId="4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10" fontId="0" fillId="2" borderId="0" xfId="2" applyNumberFormat="1" applyFont="1" applyFill="1" applyAlignment="1">
      <alignment horizontal="center" vertical="center"/>
    </xf>
    <xf numFmtId="44" fontId="0" fillId="2" borderId="0" xfId="0" applyNumberFormat="1" applyFill="1" applyBorder="1"/>
    <xf numFmtId="9" fontId="16" fillId="2" borderId="0" xfId="2" applyFont="1" applyFill="1" applyBorder="1"/>
    <xf numFmtId="179" fontId="16" fillId="2" borderId="0" xfId="2" applyNumberFormat="1" applyFont="1" applyFill="1" applyBorder="1"/>
    <xf numFmtId="9" fontId="0" fillId="2" borderId="0" xfId="0" applyNumberFormat="1" applyFill="1" applyBorder="1"/>
    <xf numFmtId="43" fontId="0" fillId="2" borderId="0" xfId="0" applyNumberFormat="1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9" fontId="0" fillId="0" borderId="0" xfId="2" applyFont="1"/>
    <xf numFmtId="0" fontId="2" fillId="2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0" fillId="0" borderId="0" xfId="0" applyBorder="1"/>
    <xf numFmtId="0" fontId="17" fillId="0" borderId="0" xfId="0" applyFont="1" applyBorder="1" applyAlignment="1">
      <alignment vertical="center"/>
    </xf>
    <xf numFmtId="44" fontId="0" fillId="0" borderId="0" xfId="0" applyNumberFormat="1" applyBorder="1"/>
    <xf numFmtId="10" fontId="1" fillId="0" borderId="0" xfId="2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/>
    <xf numFmtId="0" fontId="0" fillId="0" borderId="30" xfId="0" applyFont="1" applyFill="1" applyBorder="1" applyAlignment="1"/>
    <xf numFmtId="10" fontId="0" fillId="0" borderId="31" xfId="2" applyNumberFormat="1" applyFont="1" applyBorder="1" applyAlignment="1">
      <alignment horizontal="center" vertical="center"/>
    </xf>
    <xf numFmtId="0" fontId="0" fillId="0" borderId="24" xfId="0" applyBorder="1"/>
    <xf numFmtId="44" fontId="0" fillId="0" borderId="25" xfId="0" applyNumberFormat="1" applyFont="1" applyFill="1" applyBorder="1"/>
    <xf numFmtId="0" fontId="0" fillId="0" borderId="24" xfId="0" applyFont="1" applyFill="1" applyBorder="1" applyAlignment="1"/>
    <xf numFmtId="10" fontId="0" fillId="0" borderId="25" xfId="2" applyNumberFormat="1" applyFont="1" applyBorder="1" applyAlignment="1">
      <alignment horizontal="center" vertical="center"/>
    </xf>
    <xf numFmtId="0" fontId="0" fillId="0" borderId="32" xfId="0" applyBorder="1"/>
    <xf numFmtId="0" fontId="0" fillId="0" borderId="33" xfId="0" applyFont="1" applyFill="1" applyBorder="1" applyAlignment="1"/>
    <xf numFmtId="10" fontId="1" fillId="0" borderId="33" xfId="2" applyNumberFormat="1" applyFont="1" applyFill="1" applyBorder="1" applyAlignment="1">
      <alignment horizontal="center" vertical="center"/>
    </xf>
    <xf numFmtId="44" fontId="0" fillId="0" borderId="34" xfId="0" applyNumberFormat="1" applyFont="1" applyFill="1" applyBorder="1"/>
    <xf numFmtId="0" fontId="0" fillId="5" borderId="35" xfId="0" applyFont="1" applyFill="1" applyBorder="1" applyAlignment="1"/>
    <xf numFmtId="0" fontId="0" fillId="5" borderId="36" xfId="0" applyFont="1" applyFill="1" applyBorder="1"/>
    <xf numFmtId="44" fontId="0" fillId="5" borderId="36" xfId="0" applyNumberFormat="1" applyFont="1" applyFill="1" applyBorder="1"/>
    <xf numFmtId="10" fontId="0" fillId="5" borderId="37" xfId="2" applyNumberFormat="1" applyFont="1" applyFill="1" applyBorder="1" applyAlignment="1">
      <alignment horizontal="center" vertical="center"/>
    </xf>
    <xf numFmtId="0" fontId="17" fillId="5" borderId="35" xfId="0" applyFont="1" applyFill="1" applyBorder="1" applyAlignment="1">
      <alignment vertical="center"/>
    </xf>
    <xf numFmtId="44" fontId="0" fillId="5" borderId="36" xfId="0" applyNumberFormat="1" applyFill="1" applyBorder="1"/>
    <xf numFmtId="0" fontId="0" fillId="0" borderId="29" xfId="0" applyBorder="1"/>
    <xf numFmtId="0" fontId="0" fillId="0" borderId="30" xfId="0" applyBorder="1"/>
    <xf numFmtId="0" fontId="0" fillId="0" borderId="31" xfId="0" applyBorder="1" applyAlignment="1">
      <alignment horizontal="center" vertical="center"/>
    </xf>
    <xf numFmtId="44" fontId="17" fillId="0" borderId="0" xfId="0" applyNumberFormat="1" applyFont="1" applyBorder="1" applyAlignment="1">
      <alignment vertical="center"/>
    </xf>
    <xf numFmtId="0" fontId="0" fillId="0" borderId="24" xfId="0" applyFont="1" applyFill="1" applyBorder="1"/>
    <xf numFmtId="0" fontId="0" fillId="0" borderId="25" xfId="0" applyBorder="1" applyAlignment="1">
      <alignment horizontal="center" vertical="center"/>
    </xf>
    <xf numFmtId="3" fontId="5" fillId="3" borderId="1" xfId="0" applyNumberFormat="1" applyFont="1" applyFill="1" applyBorder="1" applyAlignment="1" applyProtection="1">
      <alignment horizontal="center" vertical="center"/>
      <protection locked="0"/>
    </xf>
    <xf numFmtId="9" fontId="5" fillId="3" borderId="1" xfId="0" applyNumberFormat="1" applyFont="1" applyFill="1" applyBorder="1" applyAlignment="1" applyProtection="1">
      <alignment horizontal="center" vertical="center"/>
      <protection locked="0"/>
    </xf>
    <xf numFmtId="164" fontId="18" fillId="7" borderId="1" xfId="0" applyNumberFormat="1" applyFont="1" applyFill="1" applyBorder="1" applyAlignment="1" applyProtection="1">
      <alignment horizontal="center" vertical="center"/>
      <protection locked="0"/>
    </xf>
    <xf numFmtId="165" fontId="18" fillId="7" borderId="1" xfId="0" applyNumberFormat="1" applyFont="1" applyFill="1" applyBorder="1" applyAlignment="1" applyProtection="1">
      <alignment horizontal="center" vertical="center"/>
      <protection locked="0"/>
    </xf>
    <xf numFmtId="3" fontId="18" fillId="7" borderId="1" xfId="0" applyNumberFormat="1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/>
    <xf numFmtId="0" fontId="20" fillId="2" borderId="1" xfId="0" applyFont="1" applyFill="1" applyBorder="1" applyAlignment="1">
      <alignment horizontal="center" vertical="center"/>
    </xf>
    <xf numFmtId="0" fontId="21" fillId="2" borderId="1" xfId="0" applyFont="1" applyFill="1" applyBorder="1"/>
    <xf numFmtId="3" fontId="21" fillId="2" borderId="1" xfId="0" applyNumberFormat="1" applyFont="1" applyFill="1" applyBorder="1" applyAlignment="1">
      <alignment horizontal="center"/>
    </xf>
    <xf numFmtId="4" fontId="21" fillId="2" borderId="1" xfId="0" applyNumberFormat="1" applyFont="1" applyFill="1" applyBorder="1" applyAlignment="1">
      <alignment horizontal="center"/>
    </xf>
    <xf numFmtId="167" fontId="21" fillId="2" borderId="1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4" fontId="21" fillId="2" borderId="1" xfId="1" applyFont="1" applyFill="1" applyBorder="1"/>
    <xf numFmtId="44" fontId="20" fillId="2" borderId="1" xfId="1" applyFont="1" applyFill="1" applyBorder="1"/>
    <xf numFmtId="44" fontId="21" fillId="2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/>
    </xf>
    <xf numFmtId="169" fontId="21" fillId="2" borderId="1" xfId="1" applyNumberFormat="1" applyFont="1" applyFill="1" applyBorder="1"/>
    <xf numFmtId="0" fontId="21" fillId="2" borderId="2" xfId="0" applyFont="1" applyFill="1" applyBorder="1" applyAlignment="1"/>
    <xf numFmtId="169" fontId="20" fillId="2" borderId="1" xfId="1" applyNumberFormat="1" applyFont="1" applyFill="1" applyBorder="1"/>
    <xf numFmtId="169" fontId="21" fillId="2" borderId="1" xfId="0" applyNumberFormat="1" applyFont="1" applyFill="1" applyBorder="1"/>
    <xf numFmtId="44" fontId="21" fillId="2" borderId="1" xfId="0" applyNumberFormat="1" applyFont="1" applyFill="1" applyBorder="1"/>
    <xf numFmtId="0" fontId="21" fillId="0" borderId="2" xfId="0" applyFont="1" applyBorder="1"/>
    <xf numFmtId="44" fontId="20" fillId="2" borderId="4" xfId="0" applyNumberFormat="1" applyFont="1" applyFill="1" applyBorder="1" applyAlignment="1"/>
    <xf numFmtId="2" fontId="21" fillId="2" borderId="1" xfId="0" applyNumberFormat="1" applyFont="1" applyFill="1" applyBorder="1" applyAlignment="1">
      <alignment horizontal="center" vertical="center"/>
    </xf>
    <xf numFmtId="171" fontId="21" fillId="2" borderId="1" xfId="1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left"/>
    </xf>
    <xf numFmtId="0" fontId="21" fillId="2" borderId="4" xfId="0" applyFont="1" applyFill="1" applyBorder="1" applyAlignment="1">
      <alignment horizontal="left"/>
    </xf>
    <xf numFmtId="176" fontId="21" fillId="2" borderId="1" xfId="1" applyNumberFormat="1" applyFont="1" applyFill="1" applyBorder="1" applyAlignment="1">
      <alignment horizontal="center" vertical="center"/>
    </xf>
    <xf numFmtId="44" fontId="21" fillId="2" borderId="1" xfId="1" applyNumberFormat="1" applyFont="1" applyFill="1" applyBorder="1" applyAlignment="1">
      <alignment horizontal="center" vertical="center"/>
    </xf>
    <xf numFmtId="44" fontId="20" fillId="2" borderId="1" xfId="1" applyFont="1" applyFill="1" applyBorder="1" applyAlignment="1"/>
    <xf numFmtId="0" fontId="20" fillId="5" borderId="1" xfId="0" applyFont="1" applyFill="1" applyBorder="1" applyAlignment="1">
      <alignment horizontal="center" vertical="center"/>
    </xf>
    <xf numFmtId="170" fontId="21" fillId="2" borderId="1" xfId="0" applyNumberFormat="1" applyFont="1" applyFill="1" applyBorder="1" applyAlignment="1">
      <alignment horizontal="center"/>
    </xf>
    <xf numFmtId="44" fontId="20" fillId="2" borderId="1" xfId="0" applyNumberFormat="1" applyFont="1" applyFill="1" applyBorder="1"/>
    <xf numFmtId="0" fontId="21" fillId="0" borderId="0" xfId="0" applyFont="1"/>
    <xf numFmtId="44" fontId="20" fillId="2" borderId="1" xfId="0" applyNumberFormat="1" applyFont="1" applyFill="1" applyBorder="1" applyAlignment="1"/>
    <xf numFmtId="44" fontId="21" fillId="2" borderId="1" xfId="0" applyNumberFormat="1" applyFont="1" applyFill="1" applyBorder="1" applyAlignment="1"/>
    <xf numFmtId="44" fontId="20" fillId="2" borderId="16" xfId="0" applyNumberFormat="1" applyFont="1" applyFill="1" applyBorder="1" applyAlignment="1">
      <alignment horizontal="left"/>
    </xf>
    <xf numFmtId="44" fontId="20" fillId="2" borderId="1" xfId="0" applyNumberFormat="1" applyFont="1" applyFill="1" applyBorder="1" applyAlignment="1">
      <alignment horizontal="left"/>
    </xf>
    <xf numFmtId="172" fontId="20" fillId="2" borderId="1" xfId="0" applyNumberFormat="1" applyFont="1" applyFill="1" applyBorder="1" applyAlignment="1"/>
    <xf numFmtId="44" fontId="22" fillId="2" borderId="1" xfId="1" applyFont="1" applyFill="1" applyBorder="1" applyAlignment="1" applyProtection="1">
      <alignment vertical="center"/>
      <protection hidden="1"/>
    </xf>
    <xf numFmtId="10" fontId="22" fillId="2" borderId="1" xfId="6" applyNumberFormat="1" applyFont="1" applyFill="1" applyBorder="1" applyAlignment="1" applyProtection="1">
      <alignment horizontal="center" vertical="center"/>
      <protection hidden="1"/>
    </xf>
    <xf numFmtId="44" fontId="22" fillId="2" borderId="1" xfId="1" applyFont="1" applyFill="1" applyBorder="1" applyAlignment="1" applyProtection="1">
      <alignment horizontal="center" vertical="center"/>
      <protection hidden="1"/>
    </xf>
    <xf numFmtId="44" fontId="22" fillId="2" borderId="1" xfId="1" quotePrefix="1" applyFont="1" applyFill="1" applyBorder="1" applyAlignment="1" applyProtection="1">
      <alignment horizontal="right" vertical="center"/>
      <protection hidden="1"/>
    </xf>
    <xf numFmtId="173" fontId="22" fillId="2" borderId="1" xfId="5" quotePrefix="1" applyNumberFormat="1" applyFont="1" applyFill="1" applyBorder="1" applyAlignment="1" applyProtection="1">
      <alignment horizontal="center" vertical="center"/>
      <protection hidden="1"/>
    </xf>
    <xf numFmtId="44" fontId="23" fillId="2" borderId="1" xfId="1" applyFont="1" applyFill="1" applyBorder="1" applyAlignment="1" applyProtection="1">
      <alignment horizontal="right"/>
      <protection hidden="1"/>
    </xf>
    <xf numFmtId="171" fontId="23" fillId="2" borderId="1" xfId="1" applyNumberFormat="1" applyFont="1" applyFill="1" applyBorder="1" applyAlignment="1" applyProtection="1">
      <alignment horizontal="right"/>
      <protection hidden="1"/>
    </xf>
    <xf numFmtId="44" fontId="22" fillId="2" borderId="1" xfId="1" applyFont="1" applyFill="1" applyBorder="1" applyAlignment="1" applyProtection="1">
      <alignment horizontal="center" wrapText="1"/>
      <protection hidden="1"/>
    </xf>
    <xf numFmtId="1" fontId="22" fillId="2" borderId="1" xfId="1" quotePrefix="1" applyNumberFormat="1" applyFont="1" applyFill="1" applyBorder="1" applyAlignment="1" applyProtection="1">
      <alignment horizontal="center" vertical="center"/>
      <protection hidden="1"/>
    </xf>
    <xf numFmtId="1" fontId="22" fillId="2" borderId="1" xfId="5" quotePrefix="1" applyNumberFormat="1" applyFont="1" applyFill="1" applyBorder="1" applyAlignment="1" applyProtection="1">
      <alignment horizontal="center" vertical="center"/>
      <protection hidden="1"/>
    </xf>
    <xf numFmtId="0" fontId="21" fillId="0" borderId="1" xfId="0" applyFont="1" applyBorder="1" applyAlignment="1">
      <alignment horizontal="center"/>
    </xf>
    <xf numFmtId="44" fontId="24" fillId="0" borderId="1" xfId="1" applyFont="1" applyFill="1" applyBorder="1" applyProtection="1">
      <protection hidden="1"/>
    </xf>
    <xf numFmtId="0" fontId="21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43" fontId="26" fillId="0" borderId="1" xfId="5" applyFont="1" applyBorder="1" applyAlignment="1">
      <alignment horizontal="center" vertical="center"/>
    </xf>
    <xf numFmtId="176" fontId="26" fillId="0" borderId="1" xfId="5" applyNumberFormat="1" applyFont="1" applyBorder="1" applyAlignment="1">
      <alignment horizontal="center" vertical="center"/>
    </xf>
    <xf numFmtId="44" fontId="26" fillId="0" borderId="1" xfId="1" applyFont="1" applyBorder="1"/>
    <xf numFmtId="10" fontId="26" fillId="0" borderId="1" xfId="2" applyNumberFormat="1" applyFont="1" applyBorder="1" applyAlignment="1">
      <alignment horizontal="center" vertical="center"/>
    </xf>
    <xf numFmtId="44" fontId="26" fillId="2" borderId="1" xfId="1" applyFont="1" applyFill="1" applyBorder="1"/>
    <xf numFmtId="44" fontId="20" fillId="2" borderId="1" xfId="0" applyNumberFormat="1" applyFont="1" applyFill="1" applyBorder="1" applyAlignment="1">
      <alignment horizontal="center" vertical="center"/>
    </xf>
    <xf numFmtId="44" fontId="23" fillId="2" borderId="1" xfId="1" applyFont="1" applyFill="1" applyBorder="1" applyAlignment="1" applyProtection="1">
      <protection hidden="1"/>
    </xf>
    <xf numFmtId="0" fontId="21" fillId="2" borderId="0" xfId="0" applyFont="1" applyFill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/>
    <xf numFmtId="44" fontId="21" fillId="0" borderId="1" xfId="1" applyFont="1" applyBorder="1"/>
    <xf numFmtId="0" fontId="20" fillId="2" borderId="1" xfId="0" applyFont="1" applyFill="1" applyBorder="1" applyAlignment="1"/>
    <xf numFmtId="10" fontId="20" fillId="2" borderId="1" xfId="2" applyNumberFormat="1" applyFont="1" applyFill="1" applyBorder="1" applyAlignment="1">
      <alignment horizontal="center" vertical="center"/>
    </xf>
    <xf numFmtId="10" fontId="20" fillId="2" borderId="1" xfId="2" applyNumberFormat="1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 vertical="center"/>
    </xf>
    <xf numFmtId="44" fontId="21" fillId="4" borderId="1" xfId="1" applyFont="1" applyFill="1" applyBorder="1"/>
    <xf numFmtId="44" fontId="20" fillId="2" borderId="8" xfId="0" applyNumberFormat="1" applyFont="1" applyFill="1" applyBorder="1"/>
    <xf numFmtId="10" fontId="20" fillId="2" borderId="8" xfId="2" applyNumberFormat="1" applyFont="1" applyFill="1" applyBorder="1" applyAlignment="1">
      <alignment horizontal="center"/>
    </xf>
    <xf numFmtId="0" fontId="20" fillId="2" borderId="9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left"/>
    </xf>
    <xf numFmtId="44" fontId="20" fillId="2" borderId="10" xfId="0" applyNumberFormat="1" applyFont="1" applyFill="1" applyBorder="1"/>
    <xf numFmtId="0" fontId="20" fillId="2" borderId="21" xfId="0" applyFont="1" applyFill="1" applyBorder="1" applyAlignment="1"/>
    <xf numFmtId="0" fontId="20" fillId="2" borderId="22" xfId="0" applyFont="1" applyFill="1" applyBorder="1" applyAlignment="1"/>
    <xf numFmtId="0" fontId="20" fillId="2" borderId="23" xfId="0" applyFont="1" applyFill="1" applyBorder="1" applyAlignment="1"/>
    <xf numFmtId="0" fontId="21" fillId="2" borderId="24" xfId="0" applyFont="1" applyFill="1" applyBorder="1"/>
    <xf numFmtId="0" fontId="21" fillId="2" borderId="0" xfId="0" applyFont="1" applyFill="1" applyBorder="1"/>
    <xf numFmtId="0" fontId="21" fillId="2" borderId="25" xfId="0" applyFont="1" applyFill="1" applyBorder="1"/>
    <xf numFmtId="0" fontId="20" fillId="2" borderId="24" xfId="0" applyFont="1" applyFill="1" applyBorder="1" applyAlignment="1"/>
    <xf numFmtId="0" fontId="20" fillId="2" borderId="0" xfId="0" applyFont="1" applyFill="1" applyBorder="1" applyAlignment="1"/>
    <xf numFmtId="0" fontId="20" fillId="2" borderId="25" xfId="0" applyFont="1" applyFill="1" applyBorder="1" applyAlignment="1"/>
    <xf numFmtId="44" fontId="20" fillId="4" borderId="1" xfId="1" applyFont="1" applyFill="1" applyBorder="1" applyAlignment="1">
      <alignment horizontal="center" vertical="center"/>
    </xf>
    <xf numFmtId="10" fontId="20" fillId="4" borderId="1" xfId="2" applyNumberFormat="1" applyFont="1" applyFill="1" applyBorder="1" applyAlignment="1">
      <alignment horizontal="center" vertical="center"/>
    </xf>
    <xf numFmtId="44" fontId="20" fillId="2" borderId="1" xfId="1" applyFont="1" applyFill="1" applyBorder="1" applyAlignment="1">
      <alignment horizontal="center" vertical="center"/>
    </xf>
    <xf numFmtId="177" fontId="20" fillId="2" borderId="1" xfId="2" applyNumberFormat="1" applyFont="1" applyFill="1" applyBorder="1" applyAlignment="1">
      <alignment horizontal="center" vertical="center"/>
    </xf>
    <xf numFmtId="44" fontId="20" fillId="4" borderId="1" xfId="2" applyNumberFormat="1" applyFont="1" applyFill="1" applyBorder="1" applyAlignment="1">
      <alignment horizontal="center" vertical="center"/>
    </xf>
    <xf numFmtId="178" fontId="20" fillId="4" borderId="1" xfId="2" applyNumberFormat="1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44" fontId="20" fillId="4" borderId="8" xfId="0" applyNumberFormat="1" applyFont="1" applyFill="1" applyBorder="1"/>
    <xf numFmtId="10" fontId="20" fillId="4" borderId="8" xfId="2" applyNumberFormat="1" applyFont="1" applyFill="1" applyBorder="1" applyAlignment="1">
      <alignment horizontal="center" vertical="center"/>
    </xf>
    <xf numFmtId="44" fontId="20" fillId="4" borderId="1" xfId="0" applyNumberFormat="1" applyFont="1" applyFill="1" applyBorder="1"/>
    <xf numFmtId="167" fontId="20" fillId="4" borderId="8" xfId="0" applyNumberFormat="1" applyFont="1" applyFill="1" applyBorder="1"/>
    <xf numFmtId="171" fontId="20" fillId="4" borderId="8" xfId="1" applyNumberFormat="1" applyFont="1" applyFill="1" applyBorder="1"/>
    <xf numFmtId="171" fontId="23" fillId="2" borderId="8" xfId="1" applyNumberFormat="1" applyFont="1" applyFill="1" applyBorder="1" applyAlignment="1" applyProtection="1">
      <alignment horizontal="right"/>
      <protection hidden="1"/>
    </xf>
    <xf numFmtId="44" fontId="20" fillId="2" borderId="13" xfId="0" applyNumberFormat="1" applyFont="1" applyFill="1" applyBorder="1"/>
    <xf numFmtId="0" fontId="27" fillId="6" borderId="1" xfId="0" applyFont="1" applyFill="1" applyBorder="1" applyAlignment="1">
      <alignment horizontal="center" vertical="center" wrapText="1"/>
    </xf>
    <xf numFmtId="44" fontId="27" fillId="6" borderId="1" xfId="0" applyNumberFormat="1" applyFont="1" applyFill="1" applyBorder="1" applyAlignment="1">
      <alignment vertical="center" wrapText="1"/>
    </xf>
    <xf numFmtId="0" fontId="27" fillId="5" borderId="1" xfId="0" applyFont="1" applyFill="1" applyBorder="1" applyAlignment="1">
      <alignment horizontal="center" vertical="center" wrapText="1"/>
    </xf>
    <xf numFmtId="43" fontId="27" fillId="5" borderId="16" xfId="0" applyNumberFormat="1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179" fontId="29" fillId="6" borderId="1" xfId="2" applyNumberFormat="1" applyFont="1" applyFill="1" applyBorder="1" applyAlignment="1">
      <alignment horizontal="center" vertical="center"/>
    </xf>
    <xf numFmtId="0" fontId="27" fillId="4" borderId="0" xfId="0" applyFont="1" applyFill="1"/>
    <xf numFmtId="0" fontId="27" fillId="4" borderId="3" xfId="0" applyFont="1" applyFill="1" applyBorder="1" applyAlignment="1">
      <alignment vertical="center" wrapText="1"/>
    </xf>
    <xf numFmtId="44" fontId="27" fillId="4" borderId="1" xfId="1" applyFont="1" applyFill="1" applyBorder="1" applyAlignment="1">
      <alignment horizontal="center" vertical="center" wrapText="1"/>
    </xf>
    <xf numFmtId="0" fontId="27" fillId="4" borderId="1" xfId="0" applyFont="1" applyFill="1" applyBorder="1"/>
    <xf numFmtId="0" fontId="27" fillId="0" borderId="1" xfId="0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10" fontId="27" fillId="0" borderId="1" xfId="2" applyNumberFormat="1" applyFont="1" applyBorder="1" applyAlignment="1">
      <alignment horizontal="center" vertical="center"/>
    </xf>
    <xf numFmtId="44" fontId="27" fillId="0" borderId="1" xfId="1" applyFont="1" applyBorder="1"/>
    <xf numFmtId="44" fontId="27" fillId="0" borderId="1" xfId="0" applyNumberFormat="1" applyFont="1" applyBorder="1"/>
    <xf numFmtId="44" fontId="27" fillId="0" borderId="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3" fontId="27" fillId="0" borderId="0" xfId="0" applyNumberFormat="1" applyFont="1"/>
    <xf numFmtId="0" fontId="27" fillId="0" borderId="0" xfId="0" applyFont="1"/>
    <xf numFmtId="44" fontId="27" fillId="0" borderId="0" xfId="0" applyNumberFormat="1" applyFont="1"/>
    <xf numFmtId="0" fontId="27" fillId="4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10" fontId="30" fillId="6" borderId="1" xfId="0" applyNumberFormat="1" applyFont="1" applyFill="1" applyBorder="1" applyAlignment="1">
      <alignment horizontal="center"/>
    </xf>
    <xf numFmtId="0" fontId="27" fillId="6" borderId="42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43" fontId="27" fillId="0" borderId="0" xfId="0" applyNumberFormat="1" applyFont="1" applyBorder="1" applyAlignment="1">
      <alignment horizontal="center" vertical="center"/>
    </xf>
    <xf numFmtId="0" fontId="27" fillId="0" borderId="25" xfId="0" applyFont="1" applyBorder="1"/>
    <xf numFmtId="0" fontId="27" fillId="4" borderId="8" xfId="0" applyFont="1" applyFill="1" applyBorder="1" applyAlignment="1">
      <alignment horizontal="center"/>
    </xf>
    <xf numFmtId="0" fontId="27" fillId="4" borderId="7" xfId="0" applyFont="1" applyFill="1" applyBorder="1" applyAlignment="1">
      <alignment horizontal="center"/>
    </xf>
    <xf numFmtId="10" fontId="27" fillId="6" borderId="8" xfId="0" applyNumberFormat="1" applyFont="1" applyFill="1" applyBorder="1" applyAlignment="1">
      <alignment horizontal="center"/>
    </xf>
    <xf numFmtId="43" fontId="27" fillId="4" borderId="11" xfId="0" applyNumberFormat="1" applyFont="1" applyFill="1" applyBorder="1" applyAlignment="1">
      <alignment horizontal="center" vertical="center"/>
    </xf>
    <xf numFmtId="180" fontId="27" fillId="6" borderId="12" xfId="0" applyNumberFormat="1" applyFont="1" applyFill="1" applyBorder="1" applyAlignment="1">
      <alignment horizontal="center" vertical="center"/>
    </xf>
    <xf numFmtId="180" fontId="27" fillId="6" borderId="13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/>
    </xf>
    <xf numFmtId="44" fontId="1" fillId="2" borderId="1" xfId="1" applyFont="1" applyFill="1" applyBorder="1" applyAlignment="1">
      <alignment horizontal="center" vertical="center"/>
    </xf>
    <xf numFmtId="10" fontId="13" fillId="2" borderId="1" xfId="4" applyNumberFormat="1" applyFont="1" applyFill="1" applyBorder="1" applyAlignment="1">
      <alignment horizontal="center" vertical="center"/>
    </xf>
    <xf numFmtId="10" fontId="0" fillId="2" borderId="1" xfId="4" applyNumberFormat="1" applyFont="1" applyFill="1" applyBorder="1" applyAlignment="1">
      <alignment horizontal="center" vertical="center"/>
    </xf>
    <xf numFmtId="174" fontId="21" fillId="2" borderId="1" xfId="0" applyNumberFormat="1" applyFont="1" applyFill="1" applyBorder="1" applyAlignment="1">
      <alignment horizontal="center"/>
    </xf>
    <xf numFmtId="4" fontId="20" fillId="2" borderId="1" xfId="0" applyNumberFormat="1" applyFont="1" applyFill="1" applyBorder="1" applyAlignment="1">
      <alignment horizontal="center" vertical="center"/>
    </xf>
    <xf numFmtId="44" fontId="26" fillId="2" borderId="1" xfId="1" applyFont="1" applyFill="1" applyBorder="1" applyAlignment="1">
      <alignment horizontal="center"/>
    </xf>
    <xf numFmtId="44" fontId="7" fillId="2" borderId="1" xfId="1" applyFont="1" applyFill="1" applyBorder="1" applyAlignment="1" applyProtection="1">
      <alignment horizontal="right"/>
      <protection hidden="1"/>
    </xf>
    <xf numFmtId="0" fontId="7" fillId="2" borderId="1" xfId="6" applyFont="1" applyFill="1" applyBorder="1" applyAlignment="1" applyProtection="1">
      <alignment horizontal="center" vertical="center"/>
      <protection hidden="1"/>
    </xf>
    <xf numFmtId="44" fontId="7" fillId="2" borderId="1" xfId="1" applyFont="1" applyFill="1" applyBorder="1" applyProtection="1">
      <protection hidden="1"/>
    </xf>
    <xf numFmtId="44" fontId="7" fillId="2" borderId="1" xfId="1" quotePrefix="1" applyFont="1" applyFill="1" applyBorder="1" applyAlignment="1" applyProtection="1">
      <alignment horizontal="left"/>
      <protection hidden="1"/>
    </xf>
    <xf numFmtId="44" fontId="25" fillId="2" borderId="1" xfId="0" applyNumberFormat="1" applyFont="1" applyFill="1" applyBorder="1"/>
    <xf numFmtId="10" fontId="1" fillId="2" borderId="0" xfId="2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/>
    <xf numFmtId="44" fontId="21" fillId="2" borderId="1" xfId="1" applyFont="1" applyFill="1" applyBorder="1" applyAlignment="1">
      <alignment horizontal="center"/>
    </xf>
    <xf numFmtId="8" fontId="27" fillId="0" borderId="1" xfId="1" applyNumberFormat="1" applyFont="1" applyBorder="1"/>
    <xf numFmtId="0" fontId="0" fillId="2" borderId="1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 applyProtection="1">
      <alignment horizontal="center"/>
      <protection hidden="1"/>
    </xf>
    <xf numFmtId="3" fontId="8" fillId="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44" fontId="1" fillId="2" borderId="2" xfId="1" applyFont="1" applyFill="1" applyBorder="1" applyAlignment="1">
      <alignment horizontal="center"/>
    </xf>
    <xf numFmtId="44" fontId="1" fillId="2" borderId="4" xfId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horizontal="left"/>
    </xf>
    <xf numFmtId="0" fontId="0" fillId="5" borderId="3" xfId="0" applyFont="1" applyFill="1" applyBorder="1" applyAlignment="1">
      <alignment horizontal="left"/>
    </xf>
    <xf numFmtId="0" fontId="0" fillId="5" borderId="4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44" fontId="2" fillId="2" borderId="3" xfId="1" applyFont="1" applyFill="1" applyBorder="1" applyAlignment="1">
      <alignment horizontal="center"/>
    </xf>
    <xf numFmtId="44" fontId="2" fillId="2" borderId="4" xfId="1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0" fillId="0" borderId="2" xfId="0" applyFont="1" applyBorder="1" applyAlignment="1" applyProtection="1">
      <alignment horizontal="left"/>
      <protection hidden="1"/>
    </xf>
    <xf numFmtId="0" fontId="10" fillId="0" borderId="4" xfId="0" applyFont="1" applyBorder="1" applyAlignment="1" applyProtection="1">
      <alignment horizontal="left"/>
      <protection hidden="1"/>
    </xf>
    <xf numFmtId="0" fontId="0" fillId="5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left"/>
    </xf>
    <xf numFmtId="0" fontId="20" fillId="2" borderId="4" xfId="0" applyFont="1" applyFill="1" applyBorder="1" applyAlignment="1">
      <alignment horizontal="left"/>
    </xf>
    <xf numFmtId="0" fontId="20" fillId="2" borderId="14" xfId="0" applyFont="1" applyFill="1" applyBorder="1" applyAlignment="1">
      <alignment horizontal="left"/>
    </xf>
    <xf numFmtId="0" fontId="20" fillId="2" borderId="15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left"/>
    </xf>
    <xf numFmtId="0" fontId="21" fillId="2" borderId="2" xfId="0" applyFont="1" applyFill="1" applyBorder="1" applyAlignment="1">
      <alignment horizontal="left"/>
    </xf>
    <xf numFmtId="0" fontId="21" fillId="2" borderId="4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left"/>
    </xf>
    <xf numFmtId="0" fontId="20" fillId="5" borderId="1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44" fontId="21" fillId="2" borderId="2" xfId="0" applyNumberFormat="1" applyFont="1" applyFill="1" applyBorder="1" applyAlignment="1">
      <alignment horizontal="center" vertical="center"/>
    </xf>
    <xf numFmtId="44" fontId="21" fillId="2" borderId="4" xfId="0" applyNumberFormat="1" applyFont="1" applyFill="1" applyBorder="1" applyAlignment="1">
      <alignment horizontal="center" vertical="center"/>
    </xf>
    <xf numFmtId="4" fontId="21" fillId="2" borderId="2" xfId="0" applyNumberFormat="1" applyFont="1" applyFill="1" applyBorder="1" applyAlignment="1">
      <alignment horizontal="center"/>
    </xf>
    <xf numFmtId="4" fontId="21" fillId="2" borderId="4" xfId="0" applyNumberFormat="1" applyFont="1" applyFill="1" applyBorder="1" applyAlignment="1">
      <alignment horizontal="center"/>
    </xf>
    <xf numFmtId="0" fontId="20" fillId="5" borderId="1" xfId="0" applyFont="1" applyFill="1" applyBorder="1" applyAlignment="1">
      <alignment horizontal="left"/>
    </xf>
    <xf numFmtId="10" fontId="21" fillId="2" borderId="2" xfId="2" applyNumberFormat="1" applyFont="1" applyFill="1" applyBorder="1" applyAlignment="1">
      <alignment horizontal="center"/>
    </xf>
    <xf numFmtId="10" fontId="21" fillId="2" borderId="4" xfId="2" applyNumberFormat="1" applyFont="1" applyFill="1" applyBorder="1" applyAlignment="1">
      <alignment horizontal="center"/>
    </xf>
    <xf numFmtId="0" fontId="20" fillId="2" borderId="3" xfId="0" applyFont="1" applyFill="1" applyBorder="1" applyAlignment="1">
      <alignment horizontal="left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2" borderId="3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81" fontId="21" fillId="2" borderId="1" xfId="1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left"/>
    </xf>
    <xf numFmtId="0" fontId="20" fillId="2" borderId="11" xfId="0" applyFont="1" applyFill="1" applyBorder="1" applyAlignment="1">
      <alignment horizontal="left"/>
    </xf>
    <xf numFmtId="0" fontId="20" fillId="2" borderId="12" xfId="0" applyFont="1" applyFill="1" applyBorder="1" applyAlignment="1">
      <alignment horizontal="left"/>
    </xf>
    <xf numFmtId="0" fontId="21" fillId="2" borderId="9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7" fillId="0" borderId="2" xfId="6" applyFont="1" applyFill="1" applyBorder="1" applyAlignment="1" applyProtection="1">
      <alignment horizontal="left"/>
      <protection hidden="1"/>
    </xf>
    <xf numFmtId="0" fontId="7" fillId="0" borderId="3" xfId="6" applyFont="1" applyFill="1" applyBorder="1" applyAlignment="1" applyProtection="1">
      <alignment horizontal="left"/>
      <protection hidden="1"/>
    </xf>
    <xf numFmtId="0" fontId="7" fillId="0" borderId="4" xfId="6" applyFont="1" applyFill="1" applyBorder="1" applyAlignment="1" applyProtection="1">
      <alignment horizontal="left"/>
      <protection hidden="1"/>
    </xf>
    <xf numFmtId="0" fontId="26" fillId="2" borderId="1" xfId="0" applyFont="1" applyFill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24" fillId="2" borderId="1" xfId="6" applyFont="1" applyFill="1" applyBorder="1" applyAlignment="1" applyProtection="1">
      <alignment horizontal="left" vertical="center" wrapText="1"/>
      <protection hidden="1"/>
    </xf>
    <xf numFmtId="0" fontId="25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7" fillId="2" borderId="1" xfId="6" applyFont="1" applyFill="1" applyBorder="1" applyAlignment="1" applyProtection="1">
      <alignment horizontal="left" vertical="top" wrapText="1"/>
      <protection hidden="1"/>
    </xf>
    <xf numFmtId="0" fontId="7" fillId="2" borderId="1" xfId="6" applyFont="1" applyFill="1" applyBorder="1" applyAlignment="1" applyProtection="1">
      <alignment horizontal="left" vertical="center" wrapText="1"/>
      <protection hidden="1"/>
    </xf>
    <xf numFmtId="0" fontId="22" fillId="2" borderId="1" xfId="6" applyFont="1" applyFill="1" applyBorder="1" applyAlignment="1" applyProtection="1">
      <alignment horizontal="center" wrapText="1"/>
      <protection hidden="1"/>
    </xf>
    <xf numFmtId="0" fontId="23" fillId="5" borderId="1" xfId="6" applyFont="1" applyFill="1" applyBorder="1" applyAlignment="1" applyProtection="1">
      <alignment horizontal="left"/>
      <protection hidden="1"/>
    </xf>
    <xf numFmtId="4" fontId="22" fillId="2" borderId="1" xfId="6" applyNumberFormat="1" applyFont="1" applyFill="1" applyBorder="1" applyAlignment="1" applyProtection="1">
      <alignment horizontal="left" vertical="center"/>
      <protection hidden="1"/>
    </xf>
    <xf numFmtId="0" fontId="23" fillId="2" borderId="1" xfId="6" applyFont="1" applyFill="1" applyBorder="1" applyAlignment="1" applyProtection="1">
      <alignment horizontal="left"/>
      <protection hidden="1"/>
    </xf>
    <xf numFmtId="0" fontId="22" fillId="2" borderId="1" xfId="6" applyFont="1" applyFill="1" applyBorder="1" applyAlignment="1" applyProtection="1">
      <alignment horizontal="center"/>
      <protection hidden="1"/>
    </xf>
    <xf numFmtId="0" fontId="23" fillId="2" borderId="1" xfId="6" applyFont="1" applyFill="1" applyBorder="1" applyAlignment="1" applyProtection="1">
      <alignment horizontal="left" wrapText="1"/>
      <protection hidden="1"/>
    </xf>
    <xf numFmtId="0" fontId="7" fillId="2" borderId="2" xfId="6" applyFont="1" applyFill="1" applyBorder="1" applyAlignment="1" applyProtection="1">
      <alignment horizontal="left" vertical="center" wrapText="1"/>
      <protection hidden="1"/>
    </xf>
    <xf numFmtId="0" fontId="7" fillId="2" borderId="3" xfId="6" applyFont="1" applyFill="1" applyBorder="1" applyAlignment="1" applyProtection="1">
      <alignment horizontal="left" vertical="center" wrapText="1"/>
      <protection hidden="1"/>
    </xf>
    <xf numFmtId="0" fontId="7" fillId="2" borderId="4" xfId="6" applyFont="1" applyFill="1" applyBorder="1" applyAlignment="1" applyProtection="1">
      <alignment horizontal="left" vertical="center" wrapText="1"/>
      <protection hidden="1"/>
    </xf>
    <xf numFmtId="0" fontId="20" fillId="2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left"/>
    </xf>
    <xf numFmtId="4" fontId="22" fillId="2" borderId="1" xfId="6" applyNumberFormat="1" applyFont="1" applyFill="1" applyBorder="1" applyAlignment="1" applyProtection="1">
      <alignment horizontal="left"/>
      <protection hidden="1"/>
    </xf>
    <xf numFmtId="0" fontId="22" fillId="2" borderId="1" xfId="6" applyFont="1" applyFill="1" applyBorder="1" applyAlignment="1" applyProtection="1">
      <alignment horizontal="left" wrapText="1"/>
      <protection hidden="1"/>
    </xf>
    <xf numFmtId="0" fontId="21" fillId="0" borderId="1" xfId="0" applyFont="1" applyBorder="1" applyAlignment="1">
      <alignment horizontal="center"/>
    </xf>
    <xf numFmtId="0" fontId="24" fillId="5" borderId="1" xfId="6" applyFont="1" applyFill="1" applyBorder="1" applyAlignment="1" applyProtection="1">
      <alignment horizontal="left"/>
      <protection hidden="1"/>
    </xf>
    <xf numFmtId="0" fontId="24" fillId="2" borderId="1" xfId="6" applyFont="1" applyFill="1" applyBorder="1" applyAlignment="1" applyProtection="1">
      <alignment horizontal="left"/>
      <protection hidden="1"/>
    </xf>
    <xf numFmtId="0" fontId="7" fillId="2" borderId="1" xfId="6" applyFont="1" applyFill="1" applyBorder="1" applyAlignment="1" applyProtection="1">
      <alignment horizontal="left"/>
      <protection hidden="1"/>
    </xf>
    <xf numFmtId="0" fontId="7" fillId="0" borderId="1" xfId="6" applyFont="1" applyFill="1" applyBorder="1" applyAlignment="1" applyProtection="1">
      <alignment horizontal="left"/>
      <protection hidden="1"/>
    </xf>
    <xf numFmtId="0" fontId="24" fillId="0" borderId="1" xfId="6" applyFont="1" applyFill="1" applyBorder="1" applyAlignment="1" applyProtection="1">
      <alignment horizontal="left"/>
      <protection hidden="1"/>
    </xf>
    <xf numFmtId="0" fontId="26" fillId="2" borderId="2" xfId="0" applyFont="1" applyFill="1" applyBorder="1" applyAlignment="1">
      <alignment horizontal="left"/>
    </xf>
    <xf numFmtId="0" fontId="26" fillId="2" borderId="3" xfId="0" applyFont="1" applyFill="1" applyBorder="1" applyAlignment="1">
      <alignment horizontal="left"/>
    </xf>
    <xf numFmtId="0" fontId="26" fillId="2" borderId="4" xfId="0" applyFont="1" applyFill="1" applyBorder="1" applyAlignment="1">
      <alignment horizontal="left"/>
    </xf>
    <xf numFmtId="0" fontId="25" fillId="5" borderId="1" xfId="0" applyFont="1" applyFill="1" applyBorder="1" applyAlignment="1">
      <alignment horizontal="left"/>
    </xf>
    <xf numFmtId="0" fontId="25" fillId="2" borderId="1" xfId="0" applyFont="1" applyFill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/>
    </xf>
    <xf numFmtId="0" fontId="21" fillId="4" borderId="3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/>
    </xf>
    <xf numFmtId="0" fontId="20" fillId="4" borderId="3" xfId="0" applyFont="1" applyFill="1" applyBorder="1" applyAlignment="1">
      <alignment horizontal="left"/>
    </xf>
    <xf numFmtId="0" fontId="20" fillId="4" borderId="4" xfId="0" applyFont="1" applyFill="1" applyBorder="1" applyAlignment="1">
      <alignment horizontal="left"/>
    </xf>
    <xf numFmtId="0" fontId="20" fillId="4" borderId="26" xfId="0" applyFont="1" applyFill="1" applyBorder="1" applyAlignment="1">
      <alignment horizontal="left"/>
    </xf>
    <xf numFmtId="0" fontId="20" fillId="4" borderId="27" xfId="0" applyFont="1" applyFill="1" applyBorder="1" applyAlignment="1">
      <alignment horizontal="left"/>
    </xf>
    <xf numFmtId="0" fontId="20" fillId="4" borderId="28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20" fillId="4" borderId="9" xfId="0" applyFont="1" applyFill="1" applyBorder="1" applyAlignment="1">
      <alignment horizontal="left"/>
    </xf>
    <xf numFmtId="0" fontId="20" fillId="4" borderId="10" xfId="0" applyFont="1" applyFill="1" applyBorder="1" applyAlignment="1">
      <alignment horizontal="left"/>
    </xf>
    <xf numFmtId="0" fontId="20" fillId="4" borderId="7" xfId="0" applyFont="1" applyFill="1" applyBorder="1" applyAlignment="1">
      <alignment horizontal="left"/>
    </xf>
    <xf numFmtId="0" fontId="20" fillId="2" borderId="9" xfId="0" applyFont="1" applyFill="1" applyBorder="1" applyAlignment="1">
      <alignment horizontal="left"/>
    </xf>
    <xf numFmtId="3" fontId="27" fillId="4" borderId="40" xfId="0" applyNumberFormat="1" applyFont="1" applyFill="1" applyBorder="1" applyAlignment="1">
      <alignment horizontal="center"/>
    </xf>
    <xf numFmtId="3" fontId="27" fillId="4" borderId="4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0" fontId="0" fillId="2" borderId="0" xfId="0" quotePrefix="1" applyFill="1"/>
    <xf numFmtId="182" fontId="25" fillId="0" borderId="13" xfId="1" applyNumberFormat="1" applyFont="1" applyFill="1" applyBorder="1"/>
  </cellXfs>
  <cellStyles count="7">
    <cellStyle name="Moeda" xfId="1" builtinId="4"/>
    <cellStyle name="Normal" xfId="0" builtinId="0"/>
    <cellStyle name="Normal 2 2" xfId="3"/>
    <cellStyle name="Normal_PL010799" xfId="6"/>
    <cellStyle name="Porcentagem" xfId="2" builtinId="5"/>
    <cellStyle name="Porcentagem 3" xfId="4"/>
    <cellStyle name="Separador de milhares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Idade</a:t>
            </a:r>
            <a:r>
              <a:rPr lang="en-US" sz="1600" b="1" baseline="0">
                <a:solidFill>
                  <a:schemeClr val="tx1"/>
                </a:solidFill>
              </a:rPr>
              <a:t> da Frota</a:t>
            </a:r>
            <a:endParaRPr lang="en-US" sz="1600" b="1">
              <a:solidFill>
                <a:schemeClr val="tx1"/>
              </a:solidFill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'Composiçaõ de dados básicos'!$E$53:$E$67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'Composiçaõ de dados básicos'!$C$53:$C$67</c:f>
              <c:numCache>
                <c:formatCode>General</c:formatCode>
                <c:ptCount val="15"/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50-4707-A837-BFF246F6D2CF}"/>
            </c:ext>
          </c:extLst>
        </c:ser>
        <c:gapWidth val="219"/>
        <c:overlap val="-27"/>
        <c:axId val="80581760"/>
        <c:axId val="80584064"/>
      </c:barChart>
      <c:catAx>
        <c:axId val="80581760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100" b="1">
                    <a:solidFill>
                      <a:schemeClr val="tx1"/>
                    </a:solidFill>
                  </a:rPr>
                  <a:t>Idade</a:t>
                </a:r>
                <a:r>
                  <a:rPr lang="pt-BR" sz="1100" b="1" baseline="0">
                    <a:solidFill>
                      <a:schemeClr val="tx1"/>
                    </a:solidFill>
                  </a:rPr>
                  <a:t> da Frota</a:t>
                </a:r>
                <a:endParaRPr lang="pt-BR" sz="11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42811084660929039"/>
              <c:y val="0.87453399684571109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0584064"/>
        <c:crosses val="autoZero"/>
        <c:auto val="1"/>
        <c:lblAlgn val="ctr"/>
        <c:lblOffset val="100"/>
      </c:catAx>
      <c:valAx>
        <c:axId val="805840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100" b="1">
                    <a:solidFill>
                      <a:schemeClr val="tx1"/>
                    </a:solidFill>
                  </a:rPr>
                  <a:t>Quantidade da</a:t>
                </a:r>
                <a:r>
                  <a:rPr lang="pt-BR" sz="1100" b="1" baseline="0">
                    <a:solidFill>
                      <a:schemeClr val="tx1"/>
                    </a:solidFill>
                  </a:rPr>
                  <a:t> Frota</a:t>
                </a:r>
                <a:endParaRPr lang="pt-BR" sz="11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1.4814814814814815E-2"/>
              <c:y val="0.24177006307834156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058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INVESTIMENTO X FC LÍQUIDO ACUMULADO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'Análise de Investimento'!$B$2</c:f>
              <c:strCache>
                <c:ptCount val="1"/>
                <c:pt idx="0">
                  <c:v>INVESTIMENTO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0"/>
              <c:pt idx="0">
                <c:v>2017</c:v>
              </c:pt>
              <c:pt idx="1">
                <c:v>2018</c:v>
              </c:pt>
              <c:pt idx="2">
                <c:v>2019</c:v>
              </c:pt>
              <c:pt idx="3">
                <c:v>2020</c:v>
              </c:pt>
              <c:pt idx="4">
                <c:v>2021</c:v>
              </c:pt>
              <c:pt idx="5">
                <c:v>2022</c:v>
              </c:pt>
              <c:pt idx="6">
                <c:v>2023</c:v>
              </c:pt>
              <c:pt idx="7">
                <c:v>2024</c:v>
              </c:pt>
              <c:pt idx="8">
                <c:v>2025</c:v>
              </c:pt>
              <c:pt idx="9">
                <c:v>2026</c:v>
              </c:pt>
              <c:pt idx="10">
                <c:v>2027</c:v>
              </c:pt>
              <c:pt idx="11">
                <c:v>2028</c:v>
              </c:pt>
              <c:pt idx="12">
                <c:v>2029</c:v>
              </c:pt>
              <c:pt idx="13">
                <c:v>2030</c:v>
              </c:pt>
              <c:pt idx="14">
                <c:v>2031</c:v>
              </c:pt>
              <c:pt idx="15">
                <c:v>2032</c:v>
              </c:pt>
              <c:pt idx="16">
                <c:v>2033</c:v>
              </c:pt>
              <c:pt idx="17">
                <c:v>2034</c:v>
              </c:pt>
              <c:pt idx="18">
                <c:v>2035</c:v>
              </c:pt>
              <c:pt idx="19">
                <c:v>2036</c:v>
              </c:pt>
            </c:numLit>
          </c:cat>
          <c:val>
            <c:numRef>
              <c:f>'Análise de Investimento'!$A$4:$A$23</c:f>
              <c:numCache>
                <c:formatCode>_-"R$"\ * #,##0.00_-;\-"R$"\ * #,##0.00_-;_-"R$"\ * "-"??_-;_-@_-</c:formatCode>
                <c:ptCount val="20"/>
                <c:pt idx="0">
                  <c:v>4082681.9493759009</c:v>
                </c:pt>
                <c:pt idx="1">
                  <c:v>4082681.9493759009</c:v>
                </c:pt>
                <c:pt idx="2">
                  <c:v>4082681.9493759009</c:v>
                </c:pt>
                <c:pt idx="3">
                  <c:v>4082681.9493759009</c:v>
                </c:pt>
                <c:pt idx="4">
                  <c:v>4082681.9493759009</c:v>
                </c:pt>
                <c:pt idx="5">
                  <c:v>4082681.9493759009</c:v>
                </c:pt>
                <c:pt idx="6">
                  <c:v>4082681.9493759009</c:v>
                </c:pt>
                <c:pt idx="7">
                  <c:v>4082681.9493759009</c:v>
                </c:pt>
                <c:pt idx="8">
                  <c:v>4082681.9493759009</c:v>
                </c:pt>
                <c:pt idx="9">
                  <c:v>4082681.9493759009</c:v>
                </c:pt>
                <c:pt idx="10">
                  <c:v>4082681.9493759009</c:v>
                </c:pt>
                <c:pt idx="11">
                  <c:v>4082681.9493759009</c:v>
                </c:pt>
                <c:pt idx="12">
                  <c:v>4082681.9493759009</c:v>
                </c:pt>
                <c:pt idx="13">
                  <c:v>4082681.9493759009</c:v>
                </c:pt>
                <c:pt idx="14">
                  <c:v>4082681.9493759009</c:v>
                </c:pt>
                <c:pt idx="15">
                  <c:v>4082681.9493759009</c:v>
                </c:pt>
                <c:pt idx="16">
                  <c:v>4082681.9493759009</c:v>
                </c:pt>
                <c:pt idx="17">
                  <c:v>4082681.9493759009</c:v>
                </c:pt>
                <c:pt idx="18">
                  <c:v>4082681.9493759009</c:v>
                </c:pt>
                <c:pt idx="19">
                  <c:v>4082681.9493759009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07-4C1D-B3B4-712C23A6C25B}"/>
            </c:ext>
          </c:extLst>
        </c:ser>
        <c:ser>
          <c:idx val="1"/>
          <c:order val="1"/>
          <c:tx>
            <c:strRef>
              <c:f>'Análise de Investimento'!$A$4:$A$23</c:f>
              <c:strCache>
                <c:ptCount val="1"/>
                <c:pt idx="0">
                  <c:v> R$ 4.082.681,95   R$ 4.082.681,95   R$ 4.082.681,95   R$ 4.082.681,95   R$ 4.082.681,95   R$ 4.082.681,95   R$ 4.082.681,95   R$ 4.082.681,95   R$ 4.082.681,95   R$ 4.082.681,95   R$ 4.082.681,95   R$ 4.082.681,95   R$ 4.082.681,95   R$ 4.082.681,95   R$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0"/>
              <c:pt idx="0">
                <c:v>2017</c:v>
              </c:pt>
              <c:pt idx="1">
                <c:v>2018</c:v>
              </c:pt>
              <c:pt idx="2">
                <c:v>2019</c:v>
              </c:pt>
              <c:pt idx="3">
                <c:v>2020</c:v>
              </c:pt>
              <c:pt idx="4">
                <c:v>2021</c:v>
              </c:pt>
              <c:pt idx="5">
                <c:v>2022</c:v>
              </c:pt>
              <c:pt idx="6">
                <c:v>2023</c:v>
              </c:pt>
              <c:pt idx="7">
                <c:v>2024</c:v>
              </c:pt>
              <c:pt idx="8">
                <c:v>2025</c:v>
              </c:pt>
              <c:pt idx="9">
                <c:v>2026</c:v>
              </c:pt>
              <c:pt idx="10">
                <c:v>2027</c:v>
              </c:pt>
              <c:pt idx="11">
                <c:v>2028</c:v>
              </c:pt>
              <c:pt idx="12">
                <c:v>2029</c:v>
              </c:pt>
              <c:pt idx="13">
                <c:v>2030</c:v>
              </c:pt>
              <c:pt idx="14">
                <c:v>2031</c:v>
              </c:pt>
              <c:pt idx="15">
                <c:v>2032</c:v>
              </c:pt>
              <c:pt idx="16">
                <c:v>2033</c:v>
              </c:pt>
              <c:pt idx="17">
                <c:v>2034</c:v>
              </c:pt>
              <c:pt idx="18">
                <c:v>2035</c:v>
              </c:pt>
              <c:pt idx="19">
                <c:v>2036</c:v>
              </c:pt>
            </c:numLit>
          </c:cat>
          <c:val>
            <c:numRef>
              <c:f>'Análise de Investimento'!$L$4:$L$23</c:f>
              <c:numCache>
                <c:formatCode>_-"R$"\ * #,##0.00_-;\-"R$"\ * #,##0.00_-;_-"R$"\ * "-"??_-;_-@_-</c:formatCode>
                <c:ptCount val="20"/>
                <c:pt idx="0">
                  <c:v>370751.45207547164</c:v>
                </c:pt>
                <c:pt idx="1">
                  <c:v>740725.09553001099</c:v>
                </c:pt>
                <c:pt idx="2">
                  <c:v>1129581.9831704448</c:v>
                </c:pt>
                <c:pt idx="3">
                  <c:v>1517815.2324061722</c:v>
                </c:pt>
                <c:pt idx="4">
                  <c:v>1905561.4508423738</c:v>
                </c:pt>
                <c:pt idx="5">
                  <c:v>2292821.2697775397</c:v>
                </c:pt>
                <c:pt idx="6">
                  <c:v>2679595.3196631526</c:v>
                </c:pt>
                <c:pt idx="7">
                  <c:v>3065884.2301048641</c:v>
                </c:pt>
                <c:pt idx="8">
                  <c:v>3451688.6298636682</c:v>
                </c:pt>
                <c:pt idx="9">
                  <c:v>3837009.1468570745</c:v>
                </c:pt>
                <c:pt idx="10">
                  <c:v>4221846.4081602776</c:v>
                </c:pt>
                <c:pt idx="11">
                  <c:v>4606201.0400073268</c:v>
                </c:pt>
                <c:pt idx="12">
                  <c:v>4990073.6677922923</c:v>
                </c:pt>
                <c:pt idx="13">
                  <c:v>5373464.9160704333</c:v>
                </c:pt>
                <c:pt idx="14">
                  <c:v>5756375.4085593587</c:v>
                </c:pt>
                <c:pt idx="15">
                  <c:v>6138805.7681401921</c:v>
                </c:pt>
                <c:pt idx="16">
                  <c:v>6520756.6168587301</c:v>
                </c:pt>
                <c:pt idx="17">
                  <c:v>6902228.5759266028</c:v>
                </c:pt>
                <c:pt idx="18">
                  <c:v>7283222.2657224303</c:v>
                </c:pt>
                <c:pt idx="19">
                  <c:v>7663738.305792979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07-4C1D-B3B4-712C23A6C25B}"/>
            </c:ext>
          </c:extLst>
        </c:ser>
        <c:marker val="1"/>
        <c:axId val="81647872"/>
        <c:axId val="81653760"/>
      </c:lineChart>
      <c:catAx>
        <c:axId val="816478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1653760"/>
        <c:crosses val="autoZero"/>
        <c:auto val="1"/>
        <c:lblAlgn val="ctr"/>
        <c:lblOffset val="100"/>
      </c:catAx>
      <c:valAx>
        <c:axId val="816537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R$&quot;* #,##0.00_-;\-&quot;R$&quot;* #,##0.00_-;_-&quot;R$&quot;* &quot;-&quot;??_-;_-@_-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1647872"/>
        <c:crosses val="autoZero"/>
        <c:crossBetween val="between"/>
        <c:majorUnit val="2000000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RECEITA PROJETADA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1"/>
          <c:order val="0"/>
          <c:tx>
            <c:strRef>
              <c:f>'Análise de Investimento'!$G$2</c:f>
              <c:strCache>
                <c:ptCount val="1"/>
                <c:pt idx="0">
                  <c:v>RECEITA PROJETADA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0"/>
              <c:pt idx="0">
                <c:v>2017</c:v>
              </c:pt>
              <c:pt idx="1">
                <c:v>2018</c:v>
              </c:pt>
              <c:pt idx="2">
                <c:v>2019</c:v>
              </c:pt>
              <c:pt idx="3">
                <c:v>2020</c:v>
              </c:pt>
              <c:pt idx="4">
                <c:v>2021</c:v>
              </c:pt>
              <c:pt idx="5">
                <c:v>2022</c:v>
              </c:pt>
              <c:pt idx="6">
                <c:v>2023</c:v>
              </c:pt>
              <c:pt idx="7">
                <c:v>2024</c:v>
              </c:pt>
              <c:pt idx="8">
                <c:v>2025</c:v>
              </c:pt>
              <c:pt idx="9">
                <c:v>2026</c:v>
              </c:pt>
              <c:pt idx="10">
                <c:v>2027</c:v>
              </c:pt>
              <c:pt idx="11">
                <c:v>2028</c:v>
              </c:pt>
              <c:pt idx="12">
                <c:v>2029</c:v>
              </c:pt>
              <c:pt idx="13">
                <c:v>2030</c:v>
              </c:pt>
              <c:pt idx="14">
                <c:v>2031</c:v>
              </c:pt>
              <c:pt idx="15">
                <c:v>2032</c:v>
              </c:pt>
              <c:pt idx="16">
                <c:v>2033</c:v>
              </c:pt>
              <c:pt idx="17">
                <c:v>2034</c:v>
              </c:pt>
              <c:pt idx="18">
                <c:v>2035</c:v>
              </c:pt>
              <c:pt idx="19">
                <c:v>2036</c:v>
              </c:pt>
            </c:numLit>
          </c:cat>
          <c:val>
            <c:numRef>
              <c:f>'Análise de Investimento'!$G$4:$G$23</c:f>
              <c:numCache>
                <c:formatCode>_-"R$"\ * #,##0.00_-;\-"R$"\ * #,##0.00_-;_-"R$"\ * "-"??_-;_-@_-</c:formatCode>
                <c:ptCount val="20"/>
                <c:pt idx="0">
                  <c:v>4480372.8199999994</c:v>
                </c:pt>
                <c:pt idx="1">
                  <c:v>4738147.6945753423</c:v>
                </c:pt>
                <c:pt idx="2">
                  <c:v>5400997.3720547948</c:v>
                </c:pt>
                <c:pt idx="3">
                  <c:v>5715875.5188455898</c:v>
                </c:pt>
                <c:pt idx="4">
                  <c:v>6052135.6171250846</c:v>
                </c:pt>
                <c:pt idx="5">
                  <c:v>6408177.6111652795</c:v>
                </c:pt>
                <c:pt idx="6">
                  <c:v>6785165.2530791629</c:v>
                </c:pt>
                <c:pt idx="7">
                  <c:v>7184330.7575273449</c:v>
                </c:pt>
                <c:pt idx="8">
                  <c:v>7606978.8293115348</c:v>
                </c:pt>
                <c:pt idx="9">
                  <c:v>8054490.927907926</c:v>
                </c:pt>
                <c:pt idx="10">
                  <c:v>8528329.7828794606</c:v>
                </c:pt>
                <c:pt idx="11">
                  <c:v>9030044.1749259438</c:v>
                </c:pt>
                <c:pt idx="12">
                  <c:v>9561273.9981992859</c:v>
                </c:pt>
                <c:pt idx="13">
                  <c:v>10123755.620430451</c:v>
                </c:pt>
                <c:pt idx="14">
                  <c:v>10719327.558388095</c:v>
                </c:pt>
                <c:pt idx="15">
                  <c:v>11349936.487219643</c:v>
                </c:pt>
                <c:pt idx="16">
                  <c:v>12017643.60331676</c:v>
                </c:pt>
                <c:pt idx="17">
                  <c:v>12724631.361502821</c:v>
                </c:pt>
                <c:pt idx="18">
                  <c:v>13473210.608563375</c:v>
                </c:pt>
                <c:pt idx="19">
                  <c:v>14265828.136436142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E7-4C27-9E7C-FF7ABD5CDFD0}"/>
            </c:ext>
          </c:extLst>
        </c:ser>
        <c:marker val="1"/>
        <c:axId val="81366016"/>
        <c:axId val="81367808"/>
      </c:lineChart>
      <c:catAx>
        <c:axId val="813660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1367808"/>
        <c:crosses val="autoZero"/>
        <c:auto val="1"/>
        <c:lblAlgn val="ctr"/>
        <c:lblOffset val="100"/>
      </c:catAx>
      <c:valAx>
        <c:axId val="813678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R$&quot;* #,##0.00_-;\-&quot;R$&quot;* #,##0.00_-;_-&quot;R$&quot;* &quot;-&quot;??_-;_-@_-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136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1590676</xdr:colOff>
      <xdr:row>2</xdr:row>
      <xdr:rowOff>590549</xdr:rowOff>
    </xdr:from>
    <xdr:to>
      <xdr:col>0</xdr:col>
      <xdr:colOff>6562726</xdr:colOff>
      <xdr:row>2</xdr:row>
      <xdr:rowOff>2552700</xdr:rowOff>
    </xdr:to>
    <xdr:pic>
      <xdr:nvPicPr>
        <xdr:cNvPr id="2" name="Imagem 1" descr="Z:\OBRAS E PROJETOS\GASPAR-SC\EXECUÇÃO DO PROJETO\1º ETAPA\LOGO PREFEITURA\Sem título.bmp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90676" y="990599"/>
          <a:ext cx="4972050" cy="1962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</xdr:colOff>
      <xdr:row>32</xdr:row>
      <xdr:rowOff>19050</xdr:rowOff>
    </xdr:from>
    <xdr:to>
      <xdr:col>10</xdr:col>
      <xdr:colOff>1265464</xdr:colOff>
      <xdr:row>46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11</xdr:col>
      <xdr:colOff>0</xdr:colOff>
      <xdr:row>61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104775</xdr:rowOff>
    </xdr:from>
    <xdr:to>
      <xdr:col>2</xdr:col>
      <xdr:colOff>1647826</xdr:colOff>
      <xdr:row>0</xdr:row>
      <xdr:rowOff>1162050</xdr:rowOff>
    </xdr:to>
    <xdr:pic>
      <xdr:nvPicPr>
        <xdr:cNvPr id="2" name="Imagem 1" descr="Z:\OBRAS E PROJETOS\GASPAR-SC\EXECUÇÃO DO PROJETO\1º ETAPA\LOGO PREFEITURA\Sem título.bmp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6" y="104775"/>
          <a:ext cx="2647950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104776</xdr:rowOff>
    </xdr:from>
    <xdr:to>
      <xdr:col>1</xdr:col>
      <xdr:colOff>1152525</xdr:colOff>
      <xdr:row>0</xdr:row>
      <xdr:rowOff>1323976</xdr:rowOff>
    </xdr:to>
    <xdr:pic>
      <xdr:nvPicPr>
        <xdr:cNvPr id="2" name="Imagem 1" descr="Z:\OBRAS E PROJETOS\GASPAR-SC\EXECUÇÃO DO PROJETO\1º ETAPA\LOGO PREFEITURA\Sem título.bmp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04776"/>
          <a:ext cx="272415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3</xdr:col>
      <xdr:colOff>1485900</xdr:colOff>
      <xdr:row>85</xdr:row>
      <xdr:rowOff>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47625</xdr:rowOff>
    </xdr:from>
    <xdr:to>
      <xdr:col>0</xdr:col>
      <xdr:colOff>2800350</xdr:colOff>
      <xdr:row>0</xdr:row>
      <xdr:rowOff>1104900</xdr:rowOff>
    </xdr:to>
    <xdr:pic>
      <xdr:nvPicPr>
        <xdr:cNvPr id="2" name="Imagem 1" descr="Z:\OBRAS E PROJETOS\GASPAR-SC\EXECUÇÃO DO PROJETO\1º ETAPA\LOGO PREFEITURA\Sem título.bmp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47625"/>
          <a:ext cx="2609850" cy="1057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765727</xdr:colOff>
      <xdr:row>0</xdr:row>
      <xdr:rowOff>83240</xdr:rowOff>
    </xdr:from>
    <xdr:to>
      <xdr:col>1</xdr:col>
      <xdr:colOff>800100</xdr:colOff>
      <xdr:row>0</xdr:row>
      <xdr:rowOff>1140515</xdr:rowOff>
    </xdr:to>
    <xdr:pic>
      <xdr:nvPicPr>
        <xdr:cNvPr id="2" name="Imagem 1" descr="Z:\OBRAS E PROJETOS\GASPAR-SC\EXECUÇÃO DO PROJETO\1º ETAPA\LOGO PREFEITURA\Sem título.bmp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5727" y="83240"/>
          <a:ext cx="2663273" cy="1057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180975</xdr:rowOff>
    </xdr:from>
    <xdr:to>
      <xdr:col>1</xdr:col>
      <xdr:colOff>1276350</xdr:colOff>
      <xdr:row>0</xdr:row>
      <xdr:rowOff>1238250</xdr:rowOff>
    </xdr:to>
    <xdr:pic>
      <xdr:nvPicPr>
        <xdr:cNvPr id="2" name="Imagem 1" descr="Z:\OBRAS E PROJETOS\GASPAR-SC\EXECUÇÃO DO PROJETO\1º ETAPA\LOGO PREFEITURA\Sem título.bmp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2524125" cy="1057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180975</xdr:rowOff>
    </xdr:from>
    <xdr:to>
      <xdr:col>1</xdr:col>
      <xdr:colOff>2133600</xdr:colOff>
      <xdr:row>0</xdr:row>
      <xdr:rowOff>1247775</xdr:rowOff>
    </xdr:to>
    <xdr:pic>
      <xdr:nvPicPr>
        <xdr:cNvPr id="3" name="Imagem 2" descr="Z:\OBRAS E PROJETOS\GASPAR-SC\EXECUÇÃO DO PROJETO\1º ETAPA\LOGO PREFEITURA\Sem título.bmp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2524125" cy="1057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542365</xdr:colOff>
      <xdr:row>0</xdr:row>
      <xdr:rowOff>104775</xdr:rowOff>
    </xdr:from>
    <xdr:to>
      <xdr:col>1</xdr:col>
      <xdr:colOff>1171575</xdr:colOff>
      <xdr:row>0</xdr:row>
      <xdr:rowOff>1066800</xdr:rowOff>
    </xdr:to>
    <xdr:pic>
      <xdr:nvPicPr>
        <xdr:cNvPr id="2" name="Imagem 1" descr="Z:\OBRAS E PROJETOS\GASPAR-SC\EXECUÇÃO DO PROJETO\1º ETAPA\LOGO PREFEITURA\Sem título.bmp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365" y="104775"/>
          <a:ext cx="237228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85725</xdr:rowOff>
    </xdr:from>
    <xdr:to>
      <xdr:col>2</xdr:col>
      <xdr:colOff>657225</xdr:colOff>
      <xdr:row>0</xdr:row>
      <xdr:rowOff>1143000</xdr:rowOff>
    </xdr:to>
    <xdr:pic>
      <xdr:nvPicPr>
        <xdr:cNvPr id="2" name="Imagem 1" descr="Z:\OBRAS E PROJETOS\GASPAR-SC\EXECUÇÃO DO PROJETO\1º ETAPA\LOGO PREFEITURA\Sem título.bmp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" y="85725"/>
          <a:ext cx="2324100" cy="1057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8" sqref="A8"/>
    </sheetView>
  </sheetViews>
  <sheetFormatPr defaultRowHeight="15"/>
  <cols>
    <col min="1" max="1" width="127.7109375" style="2" bestFit="1" customWidth="1"/>
    <col min="2" max="16384" width="9.140625" style="2"/>
  </cols>
  <sheetData>
    <row r="1" spans="1:1" ht="15.75">
      <c r="A1" s="1" t="s">
        <v>0</v>
      </c>
    </row>
    <row r="2" spans="1:1" ht="15.75">
      <c r="A2" s="1" t="s">
        <v>1</v>
      </c>
    </row>
    <row r="3" spans="1:1" ht="247.5" customHeight="1">
      <c r="A3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59"/>
  <sheetViews>
    <sheetView tabSelected="1" topLeftCell="B28" zoomScale="120" zoomScaleNormal="120" zoomScaleSheetLayoutView="85" workbookViewId="0">
      <selection activeCell="G24" sqref="G24"/>
    </sheetView>
  </sheetViews>
  <sheetFormatPr defaultRowHeight="15"/>
  <cols>
    <col min="1" max="1" width="2.42578125" customWidth="1"/>
    <col min="2" max="2" width="15" style="60" bestFit="1" customWidth="1"/>
    <col min="3" max="3" width="11.7109375" style="60" bestFit="1" customWidth="1"/>
    <col min="4" max="4" width="12.140625" bestFit="1" customWidth="1"/>
    <col min="5" max="5" width="11.28515625" bestFit="1" customWidth="1"/>
    <col min="6" max="6" width="8.140625" bestFit="1" customWidth="1"/>
    <col min="7" max="8" width="15.7109375" bestFit="1" customWidth="1"/>
    <col min="9" max="9" width="17.140625" bestFit="1" customWidth="1"/>
    <col min="10" max="10" width="16.7109375" bestFit="1" customWidth="1"/>
    <col min="11" max="11" width="12.5703125" bestFit="1" customWidth="1"/>
    <col min="12" max="12" width="18.5703125" bestFit="1" customWidth="1"/>
    <col min="13" max="13" width="12.42578125" bestFit="1" customWidth="1"/>
    <col min="14" max="14" width="14.42578125" bestFit="1" customWidth="1"/>
    <col min="15" max="16" width="16.85546875" bestFit="1" customWidth="1"/>
    <col min="17" max="17" width="17" bestFit="1" customWidth="1"/>
  </cols>
  <sheetData>
    <row r="2" spans="1:14" ht="61.5" customHeight="1">
      <c r="B2" s="228" t="s">
        <v>324</v>
      </c>
      <c r="C2" s="229">
        <f>'Composiçaõ de dados básicos'!G69+'Custo Fixo'!D54</f>
        <v>4082681.9493759009</v>
      </c>
      <c r="D2" s="230" t="s">
        <v>359</v>
      </c>
      <c r="E2" s="230" t="s">
        <v>299</v>
      </c>
      <c r="F2" s="230" t="s">
        <v>247</v>
      </c>
      <c r="G2" s="230" t="s">
        <v>325</v>
      </c>
      <c r="H2" s="230" t="s">
        <v>337</v>
      </c>
      <c r="I2" s="230" t="s">
        <v>357</v>
      </c>
      <c r="J2" s="230" t="s">
        <v>336</v>
      </c>
      <c r="K2" s="230" t="s">
        <v>326</v>
      </c>
      <c r="L2" s="230" t="s">
        <v>327</v>
      </c>
      <c r="M2" s="231" t="s">
        <v>328</v>
      </c>
      <c r="N2" s="231" t="s">
        <v>329</v>
      </c>
    </row>
    <row r="3" spans="1:14" ht="15" customHeight="1">
      <c r="A3" s="83">
        <f>C2</f>
        <v>4082681.9493759009</v>
      </c>
      <c r="B3" s="232" t="s">
        <v>330</v>
      </c>
      <c r="C3" s="233">
        <f>(5.83/100)+1</f>
        <v>1.0583</v>
      </c>
      <c r="D3" s="234"/>
      <c r="E3" s="234"/>
      <c r="F3" s="235"/>
      <c r="G3" s="234"/>
      <c r="H3" s="236">
        <f>C2*-1</f>
        <v>-4082681.9493759009</v>
      </c>
      <c r="I3" s="236"/>
      <c r="J3" s="236">
        <f>C2*-1</f>
        <v>-4082681.9493759009</v>
      </c>
      <c r="K3" s="236">
        <f>H3</f>
        <v>-4082681.9493759009</v>
      </c>
      <c r="L3" s="237"/>
      <c r="M3" s="236">
        <f>K3</f>
        <v>-4082681.9493759009</v>
      </c>
      <c r="N3" s="236">
        <f>K3</f>
        <v>-4082681.9493759009</v>
      </c>
    </row>
    <row r="4" spans="1:14">
      <c r="A4" s="79">
        <f>$A$3</f>
        <v>4082681.9493759009</v>
      </c>
      <c r="B4" s="238">
        <v>1</v>
      </c>
      <c r="C4" s="238">
        <v>2017</v>
      </c>
      <c r="D4" s="239">
        <v>1227499.402739726</v>
      </c>
      <c r="E4" s="240">
        <v>1</v>
      </c>
      <c r="F4" s="276">
        <v>3.65</v>
      </c>
      <c r="G4" s="242">
        <f>F4*D4</f>
        <v>4480372.8199999994</v>
      </c>
      <c r="H4" s="242">
        <f>G4*'Cálculo Tarifário'!$B$16</f>
        <v>268822.36919999996</v>
      </c>
      <c r="I4" s="242">
        <f>'Receitas Acessórias'!D34</f>
        <v>124174.17</v>
      </c>
      <c r="J4" s="242">
        <f>I4+H4</f>
        <v>392996.53919999994</v>
      </c>
      <c r="K4" s="241">
        <f t="shared" ref="K4:K23" si="0">J4/(1+$E$26)^B4</f>
        <v>370751.45207547164</v>
      </c>
      <c r="L4" s="243">
        <f>K4</f>
        <v>370751.45207547164</v>
      </c>
      <c r="M4" s="242">
        <f>M3+J4</f>
        <v>-3689685.4101759009</v>
      </c>
      <c r="N4" s="242">
        <f>N3+K4</f>
        <v>-3711930.4973004293</v>
      </c>
    </row>
    <row r="5" spans="1:14">
      <c r="A5" s="79">
        <f t="shared" ref="A5:A23" si="1">$A$3</f>
        <v>4082681.9493759009</v>
      </c>
      <c r="B5" s="238">
        <v>2</v>
      </c>
      <c r="C5" s="238">
        <v>2018</v>
      </c>
      <c r="D5" s="239">
        <f>D4*E5</f>
        <v>1227499.402739726</v>
      </c>
      <c r="E5" s="240">
        <v>1</v>
      </c>
      <c r="F5" s="276">
        <v>3.86</v>
      </c>
      <c r="G5" s="242">
        <f t="shared" ref="G5:G23" si="2">F5*D5</f>
        <v>4738147.6945753423</v>
      </c>
      <c r="H5" s="242">
        <f>G5*'Cálculo Tarifário'!$B$16</f>
        <v>284288.86167452054</v>
      </c>
      <c r="I5" s="242">
        <f>I4*$C$3</f>
        <v>131413.52411100001</v>
      </c>
      <c r="J5" s="242">
        <f t="shared" ref="J5:J23" si="3">I5+H5</f>
        <v>415702.38578552054</v>
      </c>
      <c r="K5" s="241">
        <f t="shared" si="0"/>
        <v>369973.64345453941</v>
      </c>
      <c r="L5" s="241">
        <f>L4+K5</f>
        <v>740725.09553001099</v>
      </c>
      <c r="M5" s="242">
        <f t="shared" ref="M5:M23" si="4">M4+J5</f>
        <v>-3273983.0243903804</v>
      </c>
      <c r="N5" s="242">
        <f t="shared" ref="N5:N20" si="5">N4+K5</f>
        <v>-3341956.8538458897</v>
      </c>
    </row>
    <row r="6" spans="1:14">
      <c r="A6" s="79">
        <f t="shared" si="1"/>
        <v>4082681.9493759009</v>
      </c>
      <c r="B6" s="238">
        <v>3</v>
      </c>
      <c r="C6" s="238">
        <v>2019</v>
      </c>
      <c r="D6" s="239">
        <f t="shared" ref="D6:D23" si="6">D5*E6</f>
        <v>1227499.402739726</v>
      </c>
      <c r="E6" s="240">
        <v>1</v>
      </c>
      <c r="F6" s="241">
        <v>4.4000000000000004</v>
      </c>
      <c r="G6" s="242">
        <f t="shared" si="2"/>
        <v>5400997.3720547948</v>
      </c>
      <c r="H6" s="242">
        <f>G6*'Cálculo Tarifário'!$B$16</f>
        <v>324059.84232328768</v>
      </c>
      <c r="I6" s="242">
        <f t="shared" ref="I6:I23" si="7">I5*$C$3</f>
        <v>139074.93256667131</v>
      </c>
      <c r="J6" s="242">
        <f t="shared" si="3"/>
        <v>463134.77488995902</v>
      </c>
      <c r="K6" s="241">
        <f t="shared" si="0"/>
        <v>388856.88764043379</v>
      </c>
      <c r="L6" s="241">
        <f t="shared" ref="L6:L23" si="8">L5+K6</f>
        <v>1129581.9831704448</v>
      </c>
      <c r="M6" s="242">
        <f t="shared" si="4"/>
        <v>-2810848.2495004213</v>
      </c>
      <c r="N6" s="242">
        <f t="shared" si="5"/>
        <v>-2953099.9662054558</v>
      </c>
    </row>
    <row r="7" spans="1:14">
      <c r="A7" s="79">
        <f t="shared" si="1"/>
        <v>4082681.9493759009</v>
      </c>
      <c r="B7" s="238">
        <v>4</v>
      </c>
      <c r="C7" s="238">
        <v>2020</v>
      </c>
      <c r="D7" s="239">
        <f t="shared" si="6"/>
        <v>1227499.402739726</v>
      </c>
      <c r="E7" s="240">
        <v>1</v>
      </c>
      <c r="F7" s="241">
        <f t="shared" ref="F7:F23" si="9">F6*$C$3</f>
        <v>4.6565200000000004</v>
      </c>
      <c r="G7" s="242">
        <f t="shared" si="2"/>
        <v>5715875.5188455898</v>
      </c>
      <c r="H7" s="242">
        <f>G7*'Cálculo Tarifário'!$B$16</f>
        <v>342952.53113073535</v>
      </c>
      <c r="I7" s="242">
        <f t="shared" si="7"/>
        <v>147183.00113530827</v>
      </c>
      <c r="J7" s="242">
        <f t="shared" si="3"/>
        <v>490135.53226604359</v>
      </c>
      <c r="K7" s="241">
        <f t="shared" si="0"/>
        <v>388233.24923572742</v>
      </c>
      <c r="L7" s="241">
        <f t="shared" si="8"/>
        <v>1517815.2324061722</v>
      </c>
      <c r="M7" s="242">
        <f t="shared" si="4"/>
        <v>-2320712.7172343777</v>
      </c>
      <c r="N7" s="242">
        <f t="shared" si="5"/>
        <v>-2564866.7169697285</v>
      </c>
    </row>
    <row r="8" spans="1:14">
      <c r="A8" s="79">
        <f t="shared" si="1"/>
        <v>4082681.9493759009</v>
      </c>
      <c r="B8" s="238">
        <v>5</v>
      </c>
      <c r="C8" s="238">
        <v>2021</v>
      </c>
      <c r="D8" s="239">
        <f t="shared" si="6"/>
        <v>1228113.1524410958</v>
      </c>
      <c r="E8" s="240">
        <v>1.0004999999999999</v>
      </c>
      <c r="F8" s="241">
        <f t="shared" si="9"/>
        <v>4.9279951160000008</v>
      </c>
      <c r="G8" s="242">
        <f t="shared" si="2"/>
        <v>6052135.6171250846</v>
      </c>
      <c r="H8" s="242">
        <f>G8*'Cálculo Tarifário'!$B$16</f>
        <v>363128.13702750509</v>
      </c>
      <c r="I8" s="242">
        <f t="shared" si="7"/>
        <v>155763.77010149675</v>
      </c>
      <c r="J8" s="242">
        <f t="shared" si="3"/>
        <v>518891.9071290018</v>
      </c>
      <c r="K8" s="241">
        <f t="shared" si="0"/>
        <v>387746.21843620157</v>
      </c>
      <c r="L8" s="241">
        <f t="shared" si="8"/>
        <v>1905561.4508423738</v>
      </c>
      <c r="M8" s="242">
        <f t="shared" si="4"/>
        <v>-1801820.8101053759</v>
      </c>
      <c r="N8" s="242">
        <f t="shared" si="5"/>
        <v>-2177120.4985335269</v>
      </c>
    </row>
    <row r="9" spans="1:14">
      <c r="A9" s="79">
        <f t="shared" si="1"/>
        <v>4082681.9493759009</v>
      </c>
      <c r="B9" s="238">
        <v>6</v>
      </c>
      <c r="C9" s="238">
        <v>2022</v>
      </c>
      <c r="D9" s="239">
        <f t="shared" si="6"/>
        <v>1228727.2090173163</v>
      </c>
      <c r="E9" s="240">
        <v>1.0004999999999999</v>
      </c>
      <c r="F9" s="241">
        <f t="shared" si="9"/>
        <v>5.2152972312628014</v>
      </c>
      <c r="G9" s="242">
        <f t="shared" si="2"/>
        <v>6408177.6111652795</v>
      </c>
      <c r="H9" s="242">
        <f>G9*'Cálculo Tarifário'!$B$16</f>
        <v>384490.65666991676</v>
      </c>
      <c r="I9" s="242">
        <f t="shared" si="7"/>
        <v>164844.79789841402</v>
      </c>
      <c r="J9" s="242">
        <f t="shared" si="3"/>
        <v>549335.45456833078</v>
      </c>
      <c r="K9" s="241">
        <f t="shared" si="0"/>
        <v>387259.81893516571</v>
      </c>
      <c r="L9" s="241">
        <f t="shared" si="8"/>
        <v>2292821.2697775397</v>
      </c>
      <c r="M9" s="242">
        <f t="shared" si="4"/>
        <v>-1252485.3555370453</v>
      </c>
      <c r="N9" s="242">
        <f t="shared" si="5"/>
        <v>-1789860.6795983613</v>
      </c>
    </row>
    <row r="10" spans="1:14">
      <c r="A10" s="79">
        <f t="shared" si="1"/>
        <v>4082681.9493759009</v>
      </c>
      <c r="B10" s="238">
        <v>7</v>
      </c>
      <c r="C10" s="238">
        <v>2023</v>
      </c>
      <c r="D10" s="239">
        <f t="shared" si="6"/>
        <v>1229341.5726218249</v>
      </c>
      <c r="E10" s="240">
        <v>1.0004999999999999</v>
      </c>
      <c r="F10" s="241">
        <f t="shared" si="9"/>
        <v>5.5193490598454229</v>
      </c>
      <c r="G10" s="242">
        <f t="shared" si="2"/>
        <v>6785165.2530791629</v>
      </c>
      <c r="H10" s="242">
        <f>G10*'Cálculo Tarifário'!$B$16</f>
        <v>407109.91518474976</v>
      </c>
      <c r="I10" s="242">
        <f t="shared" si="7"/>
        <v>174455.24961589157</v>
      </c>
      <c r="J10" s="242">
        <f t="shared" si="3"/>
        <v>581565.16480064136</v>
      </c>
      <c r="K10" s="241">
        <f t="shared" si="0"/>
        <v>386774.04988561274</v>
      </c>
      <c r="L10" s="241">
        <f t="shared" si="8"/>
        <v>2679595.3196631526</v>
      </c>
      <c r="M10" s="242">
        <f t="shared" si="4"/>
        <v>-670920.19073640392</v>
      </c>
      <c r="N10" s="242">
        <f t="shared" si="5"/>
        <v>-1403086.6297127486</v>
      </c>
    </row>
    <row r="11" spans="1:14">
      <c r="A11" s="79">
        <f t="shared" si="1"/>
        <v>4082681.9493759009</v>
      </c>
      <c r="B11" s="238">
        <v>8</v>
      </c>
      <c r="C11" s="238">
        <v>2024</v>
      </c>
      <c r="D11" s="239">
        <f t="shared" si="6"/>
        <v>1229956.2434081358</v>
      </c>
      <c r="E11" s="240">
        <v>1.0004999999999999</v>
      </c>
      <c r="F11" s="241">
        <f t="shared" si="9"/>
        <v>5.8411271100344111</v>
      </c>
      <c r="G11" s="242">
        <f t="shared" si="2"/>
        <v>7184330.7575273449</v>
      </c>
      <c r="H11" s="242">
        <f>G11*'Cálculo Tarifário'!$B$16</f>
        <v>431059.84545164066</v>
      </c>
      <c r="I11" s="242">
        <f t="shared" si="7"/>
        <v>184625.99066849807</v>
      </c>
      <c r="J11" s="242">
        <f t="shared" si="3"/>
        <v>615685.83612013876</v>
      </c>
      <c r="K11" s="241">
        <f t="shared" si="0"/>
        <v>386288.91044171143</v>
      </c>
      <c r="L11" s="241">
        <f t="shared" si="8"/>
        <v>3065884.2301048641</v>
      </c>
      <c r="M11" s="242">
        <f t="shared" si="4"/>
        <v>-55234.354616265162</v>
      </c>
      <c r="N11" s="242">
        <f t="shared" si="5"/>
        <v>-1016797.7192710371</v>
      </c>
    </row>
    <row r="12" spans="1:14">
      <c r="A12" s="79">
        <f t="shared" si="1"/>
        <v>4082681.9493759009</v>
      </c>
      <c r="B12" s="238">
        <v>9</v>
      </c>
      <c r="C12" s="238">
        <v>2025</v>
      </c>
      <c r="D12" s="239">
        <f t="shared" si="6"/>
        <v>1230571.2215298398</v>
      </c>
      <c r="E12" s="240">
        <v>1.0004999999999999</v>
      </c>
      <c r="F12" s="241">
        <f t="shared" si="9"/>
        <v>6.1816648205494173</v>
      </c>
      <c r="G12" s="242">
        <f t="shared" si="2"/>
        <v>7606978.8293115348</v>
      </c>
      <c r="H12" s="242">
        <f>G12*'Cálculo Tarifário'!$B$16</f>
        <v>456418.72975869209</v>
      </c>
      <c r="I12" s="242">
        <f t="shared" si="7"/>
        <v>195389.6859244715</v>
      </c>
      <c r="J12" s="242">
        <f t="shared" si="3"/>
        <v>651808.41568316356</v>
      </c>
      <c r="K12" s="241">
        <f t="shared" si="0"/>
        <v>385804.39975880436</v>
      </c>
      <c r="L12" s="241">
        <f t="shared" si="8"/>
        <v>3451688.6298636682</v>
      </c>
      <c r="M12" s="242">
        <f t="shared" si="4"/>
        <v>596574.0610668984</v>
      </c>
      <c r="N12" s="242">
        <f t="shared" si="5"/>
        <v>-630993.31951223279</v>
      </c>
    </row>
    <row r="13" spans="1:14">
      <c r="A13" s="79">
        <f t="shared" si="1"/>
        <v>4082681.9493759009</v>
      </c>
      <c r="B13" s="238">
        <v>10</v>
      </c>
      <c r="C13" s="238">
        <v>2026</v>
      </c>
      <c r="D13" s="239">
        <f t="shared" si="6"/>
        <v>1231186.5071406045</v>
      </c>
      <c r="E13" s="240">
        <v>1.0004999999999999</v>
      </c>
      <c r="F13" s="241">
        <f t="shared" si="9"/>
        <v>6.5420558795874486</v>
      </c>
      <c r="G13" s="242">
        <f t="shared" si="2"/>
        <v>8054490.927907926</v>
      </c>
      <c r="H13" s="242">
        <f>G13*'Cálculo Tarifário'!$B$16</f>
        <v>483269.45567447552</v>
      </c>
      <c r="I13" s="242">
        <f t="shared" si="7"/>
        <v>206780.90461386819</v>
      </c>
      <c r="J13" s="242">
        <f t="shared" si="3"/>
        <v>690050.36028834374</v>
      </c>
      <c r="K13" s="241">
        <f t="shared" si="0"/>
        <v>385320.5169934064</v>
      </c>
      <c r="L13" s="241">
        <f t="shared" si="8"/>
        <v>3837009.1468570745</v>
      </c>
      <c r="M13" s="242">
        <f t="shared" si="4"/>
        <v>1286624.4213552421</v>
      </c>
      <c r="N13" s="242">
        <f t="shared" si="5"/>
        <v>-245672.80251882639</v>
      </c>
    </row>
    <row r="14" spans="1:14">
      <c r="A14" s="79">
        <f t="shared" si="1"/>
        <v>4082681.9493759009</v>
      </c>
      <c r="B14" s="238">
        <v>11</v>
      </c>
      <c r="C14" s="238">
        <v>2027</v>
      </c>
      <c r="D14" s="239">
        <f t="shared" si="6"/>
        <v>1231802.1003941747</v>
      </c>
      <c r="E14" s="240">
        <v>1.0004999999999999</v>
      </c>
      <c r="F14" s="241">
        <f t="shared" si="9"/>
        <v>6.9234577373673973</v>
      </c>
      <c r="G14" s="242">
        <f t="shared" si="2"/>
        <v>8528329.7828794606</v>
      </c>
      <c r="H14" s="242">
        <f>G14*'Cálculo Tarifário'!$B$16</f>
        <v>511699.78697276762</v>
      </c>
      <c r="I14" s="242">
        <f t="shared" si="7"/>
        <v>218836.2313528567</v>
      </c>
      <c r="J14" s="242">
        <f t="shared" si="3"/>
        <v>730536.01832562429</v>
      </c>
      <c r="K14" s="241">
        <f t="shared" si="0"/>
        <v>384837.26130320318</v>
      </c>
      <c r="L14" s="241">
        <f t="shared" si="8"/>
        <v>4221846.4081602776</v>
      </c>
      <c r="M14" s="242">
        <f t="shared" si="4"/>
        <v>2017160.4396808664</v>
      </c>
      <c r="N14" s="242">
        <f t="shared" si="5"/>
        <v>139164.45878437679</v>
      </c>
    </row>
    <row r="15" spans="1:14">
      <c r="A15" s="79">
        <f t="shared" si="1"/>
        <v>4082681.9493759009</v>
      </c>
      <c r="B15" s="238">
        <v>12</v>
      </c>
      <c r="C15" s="238">
        <v>2028</v>
      </c>
      <c r="D15" s="239">
        <f t="shared" si="6"/>
        <v>1232418.0014443716</v>
      </c>
      <c r="E15" s="240">
        <v>1.0004999999999999</v>
      </c>
      <c r="F15" s="241">
        <f t="shared" si="9"/>
        <v>7.3270953234559171</v>
      </c>
      <c r="G15" s="242">
        <f t="shared" si="2"/>
        <v>9030044.1749259438</v>
      </c>
      <c r="H15" s="242">
        <f>G15*'Cálculo Tarifário'!$B$16</f>
        <v>541802.65049555665</v>
      </c>
      <c r="I15" s="242">
        <f t="shared" si="7"/>
        <v>231594.38364072825</v>
      </c>
      <c r="J15" s="242">
        <f t="shared" si="3"/>
        <v>773397.03413628484</v>
      </c>
      <c r="K15" s="241">
        <f t="shared" si="0"/>
        <v>384354.63184704923</v>
      </c>
      <c r="L15" s="241">
        <f t="shared" si="8"/>
        <v>4606201.0400073268</v>
      </c>
      <c r="M15" s="242">
        <f t="shared" si="4"/>
        <v>2790557.473817151</v>
      </c>
      <c r="N15" s="242">
        <f t="shared" si="5"/>
        <v>523519.09063142602</v>
      </c>
    </row>
    <row r="16" spans="1:14">
      <c r="A16" s="79">
        <f t="shared" si="1"/>
        <v>4082681.9493759009</v>
      </c>
      <c r="B16" s="238">
        <v>13</v>
      </c>
      <c r="C16" s="238">
        <v>2029</v>
      </c>
      <c r="D16" s="239">
        <f t="shared" si="6"/>
        <v>1233034.2104450937</v>
      </c>
      <c r="E16" s="240">
        <v>1.0004999999999999</v>
      </c>
      <c r="F16" s="241">
        <f t="shared" si="9"/>
        <v>7.7542649808133968</v>
      </c>
      <c r="G16" s="242">
        <f t="shared" si="2"/>
        <v>9561273.9981992859</v>
      </c>
      <c r="H16" s="242">
        <f>G16*'Cálculo Tarifário'!$B$16</f>
        <v>573676.4398919571</v>
      </c>
      <c r="I16" s="242">
        <f t="shared" si="7"/>
        <v>245096.3362069827</v>
      </c>
      <c r="J16" s="242">
        <f t="shared" si="3"/>
        <v>818772.77609893982</v>
      </c>
      <c r="K16" s="241">
        <f t="shared" si="0"/>
        <v>383872.62778496603</v>
      </c>
      <c r="L16" s="241">
        <f t="shared" si="8"/>
        <v>4990073.6677922923</v>
      </c>
      <c r="M16" s="242">
        <f t="shared" si="4"/>
        <v>3609330.2499160906</v>
      </c>
      <c r="N16" s="242">
        <f t="shared" si="5"/>
        <v>907391.7184163921</v>
      </c>
    </row>
    <row r="17" spans="1:14">
      <c r="A17" s="79">
        <f t="shared" si="1"/>
        <v>4082681.9493759009</v>
      </c>
      <c r="B17" s="238">
        <v>14</v>
      </c>
      <c r="C17" s="238">
        <v>2030</v>
      </c>
      <c r="D17" s="239">
        <f t="shared" si="6"/>
        <v>1233650.7275503161</v>
      </c>
      <c r="E17" s="240">
        <v>1.0004999999999999</v>
      </c>
      <c r="F17" s="241">
        <f t="shared" si="9"/>
        <v>8.2063386291948177</v>
      </c>
      <c r="G17" s="242">
        <f t="shared" si="2"/>
        <v>10123755.620430451</v>
      </c>
      <c r="H17" s="242">
        <f>G17*'Cálculo Tarifário'!$B$16</f>
        <v>607425.33722582704</v>
      </c>
      <c r="I17" s="242">
        <f t="shared" si="7"/>
        <v>259385.45260784979</v>
      </c>
      <c r="J17" s="242">
        <f t="shared" si="3"/>
        <v>866810.78983367677</v>
      </c>
      <c r="K17" s="241">
        <f t="shared" si="0"/>
        <v>383391.2482781412</v>
      </c>
      <c r="L17" s="241">
        <f t="shared" si="8"/>
        <v>5373464.9160704333</v>
      </c>
      <c r="M17" s="242">
        <f t="shared" si="4"/>
        <v>4476141.0397497676</v>
      </c>
      <c r="N17" s="242">
        <f t="shared" si="5"/>
        <v>1290782.9666945334</v>
      </c>
    </row>
    <row r="18" spans="1:14">
      <c r="A18" s="79">
        <f t="shared" si="1"/>
        <v>4082681.9493759009</v>
      </c>
      <c r="B18" s="238">
        <v>15</v>
      </c>
      <c r="C18" s="238">
        <v>2031</v>
      </c>
      <c r="D18" s="239">
        <f t="shared" si="6"/>
        <v>1234267.5529140912</v>
      </c>
      <c r="E18" s="240">
        <v>1.0004999999999999</v>
      </c>
      <c r="F18" s="241">
        <f t="shared" si="9"/>
        <v>8.6847681712768754</v>
      </c>
      <c r="G18" s="242">
        <f t="shared" si="2"/>
        <v>10719327.558388095</v>
      </c>
      <c r="H18" s="242">
        <f>G18*'Cálculo Tarifário'!$B$16</f>
        <v>643159.65350328572</v>
      </c>
      <c r="I18" s="242">
        <f t="shared" si="7"/>
        <v>274507.62449488742</v>
      </c>
      <c r="J18" s="242">
        <f t="shared" si="3"/>
        <v>917667.27799817314</v>
      </c>
      <c r="K18" s="241">
        <f t="shared" si="0"/>
        <v>382910.49248892569</v>
      </c>
      <c r="L18" s="241">
        <f t="shared" si="8"/>
        <v>5756375.4085593587</v>
      </c>
      <c r="M18" s="242">
        <f t="shared" si="4"/>
        <v>5393808.3177479412</v>
      </c>
      <c r="N18" s="242">
        <f t="shared" si="5"/>
        <v>1673693.4591834592</v>
      </c>
    </row>
    <row r="19" spans="1:14">
      <c r="A19" s="79">
        <f t="shared" si="1"/>
        <v>4082681.9493759009</v>
      </c>
      <c r="B19" s="238">
        <v>16</v>
      </c>
      <c r="C19" s="238">
        <v>2032</v>
      </c>
      <c r="D19" s="239">
        <f t="shared" si="6"/>
        <v>1234884.6866905482</v>
      </c>
      <c r="E19" s="240">
        <v>1.0004999999999999</v>
      </c>
      <c r="F19" s="241">
        <f t="shared" si="9"/>
        <v>9.1910901556623177</v>
      </c>
      <c r="G19" s="242">
        <f t="shared" si="2"/>
        <v>11349936.487219643</v>
      </c>
      <c r="H19" s="242">
        <f>G19*'Cálculo Tarifário'!$B$16</f>
        <v>680996.18923317851</v>
      </c>
      <c r="I19" s="242">
        <f t="shared" si="7"/>
        <v>290511.41900293936</v>
      </c>
      <c r="J19" s="242">
        <f t="shared" si="3"/>
        <v>971507.60823611787</v>
      </c>
      <c r="K19" s="241">
        <f t="shared" si="0"/>
        <v>382430.35958083335</v>
      </c>
      <c r="L19" s="241">
        <f t="shared" si="8"/>
        <v>6138805.7681401921</v>
      </c>
      <c r="M19" s="242">
        <f t="shared" si="4"/>
        <v>6365315.9259840595</v>
      </c>
      <c r="N19" s="242">
        <f t="shared" si="5"/>
        <v>2056123.8187642926</v>
      </c>
    </row>
    <row r="20" spans="1:14">
      <c r="A20" s="79">
        <f t="shared" si="1"/>
        <v>4082681.9493759009</v>
      </c>
      <c r="B20" s="238">
        <v>17</v>
      </c>
      <c r="C20" s="238">
        <v>2033</v>
      </c>
      <c r="D20" s="239">
        <f t="shared" si="6"/>
        <v>1235502.1290338933</v>
      </c>
      <c r="E20" s="240">
        <v>1.0004999999999999</v>
      </c>
      <c r="F20" s="241">
        <f t="shared" si="9"/>
        <v>9.7269307117374311</v>
      </c>
      <c r="G20" s="242">
        <f t="shared" si="2"/>
        <v>12017643.60331676</v>
      </c>
      <c r="H20" s="242">
        <f>G20*'Cálculo Tarifário'!$B$16</f>
        <v>721058.61619900551</v>
      </c>
      <c r="I20" s="242">
        <f t="shared" si="7"/>
        <v>307448.23473081074</v>
      </c>
      <c r="J20" s="242">
        <f t="shared" si="3"/>
        <v>1028506.8509298163</v>
      </c>
      <c r="K20" s="241">
        <f t="shared" si="0"/>
        <v>381950.84871853789</v>
      </c>
      <c r="L20" s="241">
        <f t="shared" si="8"/>
        <v>6520756.6168587301</v>
      </c>
      <c r="M20" s="242">
        <f t="shared" si="4"/>
        <v>7393822.7769138757</v>
      </c>
      <c r="N20" s="242">
        <f t="shared" si="5"/>
        <v>2438074.6674828306</v>
      </c>
    </row>
    <row r="21" spans="1:14">
      <c r="A21" s="79">
        <f t="shared" si="1"/>
        <v>4082681.9493759009</v>
      </c>
      <c r="B21" s="238">
        <v>18</v>
      </c>
      <c r="C21" s="238">
        <v>2034</v>
      </c>
      <c r="D21" s="239">
        <f t="shared" si="6"/>
        <v>1236119.8800984102</v>
      </c>
      <c r="E21" s="240">
        <v>1.0004999999999999</v>
      </c>
      <c r="F21" s="241">
        <f t="shared" si="9"/>
        <v>10.294010772231724</v>
      </c>
      <c r="G21" s="242">
        <f t="shared" si="2"/>
        <v>12724631.361502821</v>
      </c>
      <c r="H21" s="242">
        <f>G21*'Cálculo Tarifário'!$B$16</f>
        <v>763477.88169016922</v>
      </c>
      <c r="I21" s="242">
        <f t="shared" si="7"/>
        <v>325372.46681561699</v>
      </c>
      <c r="J21" s="242">
        <f t="shared" si="3"/>
        <v>1088850.3485057862</v>
      </c>
      <c r="K21" s="241">
        <f t="shared" si="0"/>
        <v>381471.95906787249</v>
      </c>
      <c r="L21" s="241">
        <f t="shared" si="8"/>
        <v>6902228.5759266028</v>
      </c>
      <c r="M21" s="242">
        <f t="shared" si="4"/>
        <v>8482673.1254196614</v>
      </c>
      <c r="N21" s="242">
        <f t="shared" ref="N21:N23" si="10">N20+K21</f>
        <v>2819546.6265507033</v>
      </c>
    </row>
    <row r="22" spans="1:14">
      <c r="A22" s="79">
        <f t="shared" si="1"/>
        <v>4082681.9493759009</v>
      </c>
      <c r="B22" s="238">
        <v>19</v>
      </c>
      <c r="C22" s="238">
        <v>2035</v>
      </c>
      <c r="D22" s="239">
        <f t="shared" si="6"/>
        <v>1236737.9400384594</v>
      </c>
      <c r="E22" s="240">
        <v>1.0004999999999999</v>
      </c>
      <c r="F22" s="241">
        <f t="shared" si="9"/>
        <v>10.894151600252833</v>
      </c>
      <c r="G22" s="242">
        <f t="shared" si="2"/>
        <v>13473210.608563375</v>
      </c>
      <c r="H22" s="242">
        <f>G22*'Cálculo Tarifário'!$B$16</f>
        <v>808392.63651380246</v>
      </c>
      <c r="I22" s="242">
        <f t="shared" si="7"/>
        <v>344341.68163096748</v>
      </c>
      <c r="J22" s="242">
        <f t="shared" si="3"/>
        <v>1152734.3181447699</v>
      </c>
      <c r="K22" s="241">
        <f t="shared" si="0"/>
        <v>380993.68979582732</v>
      </c>
      <c r="L22" s="241">
        <f t="shared" si="8"/>
        <v>7283222.2657224303</v>
      </c>
      <c r="M22" s="242">
        <f t="shared" si="4"/>
        <v>9635407.4435644317</v>
      </c>
      <c r="N22" s="242">
        <f t="shared" si="10"/>
        <v>3200540.3163465308</v>
      </c>
    </row>
    <row r="23" spans="1:14">
      <c r="A23" s="79">
        <f t="shared" si="1"/>
        <v>4082681.9493759009</v>
      </c>
      <c r="B23" s="238">
        <v>20</v>
      </c>
      <c r="C23" s="238">
        <v>2036</v>
      </c>
      <c r="D23" s="239">
        <f t="shared" si="6"/>
        <v>1237356.3090084787</v>
      </c>
      <c r="E23" s="240">
        <v>1.0004999999999999</v>
      </c>
      <c r="F23" s="241">
        <f t="shared" si="9"/>
        <v>11.529280638547574</v>
      </c>
      <c r="G23" s="242">
        <f t="shared" si="2"/>
        <v>14265828.136436142</v>
      </c>
      <c r="H23" s="242">
        <f>G23*'Cálculo Tarifário'!$B$16</f>
        <v>855949.68818616844</v>
      </c>
      <c r="I23" s="242">
        <f t="shared" si="7"/>
        <v>364416.80167005287</v>
      </c>
      <c r="J23" s="242">
        <f t="shared" si="3"/>
        <v>1220366.4898562212</v>
      </c>
      <c r="K23" s="241">
        <f t="shared" si="0"/>
        <v>380516.04007054842</v>
      </c>
      <c r="L23" s="241">
        <f t="shared" si="8"/>
        <v>7663738.305792979</v>
      </c>
      <c r="M23" s="242">
        <f t="shared" si="4"/>
        <v>10855773.933420653</v>
      </c>
      <c r="N23" s="242">
        <f t="shared" si="10"/>
        <v>3581056.3564170795</v>
      </c>
    </row>
    <row r="24" spans="1:14">
      <c r="B24" s="244"/>
      <c r="C24" s="244"/>
      <c r="D24" s="245"/>
      <c r="E24" s="246"/>
      <c r="F24" s="246"/>
      <c r="G24" s="242">
        <f>SUM(G4:G23)</f>
        <v>174220653.73345402</v>
      </c>
      <c r="H24" s="242">
        <f t="shared" ref="H24:K24" si="11">SUM(H4:H23)</f>
        <v>10453239.224007241</v>
      </c>
      <c r="I24" s="242">
        <f t="shared" si="11"/>
        <v>4485216.6587893115</v>
      </c>
      <c r="J24" s="242">
        <f t="shared" si="11"/>
        <v>14938455.882796552</v>
      </c>
      <c r="K24" s="242">
        <f t="shared" si="11"/>
        <v>7663738.305792979</v>
      </c>
      <c r="L24" s="247"/>
      <c r="M24" s="247"/>
      <c r="N24" s="247"/>
    </row>
    <row r="25" spans="1:14" ht="15.75" thickBot="1">
      <c r="B25" s="244"/>
      <c r="C25" s="244"/>
      <c r="D25" s="245"/>
      <c r="E25" s="246"/>
      <c r="F25" s="246"/>
      <c r="G25" s="246"/>
      <c r="H25" s="247"/>
      <c r="I25" s="247"/>
      <c r="J25" s="247"/>
      <c r="K25" s="247"/>
      <c r="L25" s="247"/>
      <c r="M25" s="247"/>
      <c r="N25" s="246"/>
    </row>
    <row r="26" spans="1:14">
      <c r="B26" s="244"/>
      <c r="C26" s="422" t="s">
        <v>331</v>
      </c>
      <c r="D26" s="423"/>
      <c r="E26" s="251">
        <v>0.06</v>
      </c>
      <c r="F26" s="246"/>
      <c r="G26" s="246"/>
      <c r="H26" s="246"/>
      <c r="I26" s="246"/>
      <c r="J26" s="246"/>
      <c r="K26" s="246"/>
      <c r="L26" s="246"/>
      <c r="M26" s="246"/>
      <c r="N26" s="246"/>
    </row>
    <row r="27" spans="1:14">
      <c r="B27" s="244"/>
      <c r="C27" s="252"/>
      <c r="D27" s="253"/>
      <c r="E27" s="254"/>
      <c r="F27" s="246"/>
      <c r="G27" s="246"/>
      <c r="H27" s="246"/>
      <c r="I27" s="246"/>
      <c r="J27" s="246"/>
      <c r="K27" s="246"/>
      <c r="L27" s="246"/>
      <c r="M27" s="246"/>
      <c r="N27" s="246"/>
    </row>
    <row r="28" spans="1:14">
      <c r="B28" s="244"/>
      <c r="C28" s="252"/>
      <c r="D28" s="248" t="s">
        <v>332</v>
      </c>
      <c r="E28" s="255" t="s">
        <v>326</v>
      </c>
      <c r="F28" s="246"/>
      <c r="G28" s="246"/>
      <c r="H28" s="246"/>
      <c r="I28" s="246"/>
      <c r="J28" s="246"/>
      <c r="K28" s="246"/>
      <c r="L28" s="246"/>
      <c r="M28" s="246"/>
      <c r="N28" s="246"/>
    </row>
    <row r="29" spans="1:14">
      <c r="B29" s="244"/>
      <c r="C29" s="256" t="s">
        <v>333</v>
      </c>
      <c r="D29" s="250">
        <f>IRR(J3:J23)</f>
        <v>0.13332383631817041</v>
      </c>
      <c r="E29" s="257">
        <f>IRR(K3:K23)</f>
        <v>6.917343048884006E-2</v>
      </c>
      <c r="F29" s="249"/>
      <c r="G29" s="246"/>
      <c r="H29" s="246"/>
      <c r="I29" s="246"/>
      <c r="J29" s="246"/>
      <c r="K29" s="246"/>
      <c r="L29" s="246"/>
      <c r="M29" s="246"/>
      <c r="N29" s="246"/>
    </row>
    <row r="30" spans="1:14" ht="15.75" thickBot="1">
      <c r="B30" s="244"/>
      <c r="C30" s="258" t="s">
        <v>328</v>
      </c>
      <c r="D30" s="259">
        <f>COUNTIF(M4:M23,B31)+1</f>
        <v>9</v>
      </c>
      <c r="E30" s="260">
        <f>COUNTIF(N4:N23,B31)+1</f>
        <v>11</v>
      </c>
      <c r="F30" s="246"/>
      <c r="G30" s="246"/>
      <c r="H30" s="246"/>
      <c r="I30" s="246"/>
      <c r="J30" s="246"/>
      <c r="K30" s="246"/>
      <c r="L30" s="246"/>
      <c r="M30" s="246"/>
      <c r="N30" s="246"/>
    </row>
    <row r="31" spans="1:14">
      <c r="B31" s="81" t="s">
        <v>334</v>
      </c>
      <c r="G31" s="246"/>
    </row>
    <row r="49" spans="4:4">
      <c r="D49" s="80"/>
    </row>
    <row r="50" spans="4:4">
      <c r="D50" s="80"/>
    </row>
    <row r="51" spans="4:4">
      <c r="D51" s="80"/>
    </row>
    <row r="52" spans="4:4">
      <c r="D52" s="80"/>
    </row>
    <row r="53" spans="4:4">
      <c r="D53" s="80"/>
    </row>
    <row r="54" spans="4:4">
      <c r="D54" s="80"/>
    </row>
    <row r="55" spans="4:4">
      <c r="D55" s="80"/>
    </row>
    <row r="56" spans="4:4">
      <c r="D56" s="80"/>
    </row>
    <row r="57" spans="4:4">
      <c r="D57" s="80"/>
    </row>
    <row r="58" spans="4:4">
      <c r="D58" s="80"/>
    </row>
    <row r="59" spans="4:4">
      <c r="D59" s="80"/>
    </row>
    <row r="60" spans="4:4">
      <c r="D60" s="80"/>
    </row>
    <row r="61" spans="4:4">
      <c r="D61" s="80"/>
    </row>
    <row r="62" spans="4:4">
      <c r="D62" s="80"/>
    </row>
    <row r="63" spans="4:4">
      <c r="D63" s="80"/>
    </row>
    <row r="64" spans="4:4">
      <c r="D64" s="80"/>
    </row>
    <row r="65" spans="4:4">
      <c r="D65" s="80"/>
    </row>
    <row r="66" spans="4:4">
      <c r="D66" s="80"/>
    </row>
    <row r="67" spans="4:4">
      <c r="D67" s="80"/>
    </row>
    <row r="68" spans="4:4">
      <c r="D68" s="80"/>
    </row>
    <row r="69" spans="4:4">
      <c r="D69" s="80"/>
    </row>
    <row r="70" spans="4:4">
      <c r="D70" s="80"/>
    </row>
    <row r="71" spans="4:4">
      <c r="D71" s="80"/>
    </row>
    <row r="72" spans="4:4">
      <c r="D72" s="80"/>
    </row>
    <row r="73" spans="4:4">
      <c r="D73" s="80"/>
    </row>
    <row r="74" spans="4:4">
      <c r="D74" s="80"/>
    </row>
    <row r="75" spans="4:4">
      <c r="D75" s="80"/>
    </row>
    <row r="76" spans="4:4">
      <c r="D76" s="80"/>
    </row>
    <row r="77" spans="4:4">
      <c r="D77" s="80"/>
    </row>
    <row r="78" spans="4:4">
      <c r="D78" s="80"/>
    </row>
    <row r="79" spans="4:4">
      <c r="D79" s="80"/>
    </row>
    <row r="80" spans="4:4">
      <c r="D80" s="80"/>
    </row>
    <row r="81" spans="4:4">
      <c r="D81" s="80"/>
    </row>
    <row r="82" spans="4:4">
      <c r="D82" s="80"/>
    </row>
    <row r="83" spans="4:4">
      <c r="D83" s="80"/>
    </row>
    <row r="84" spans="4:4">
      <c r="D84" s="80"/>
    </row>
    <row r="85" spans="4:4">
      <c r="D85" s="80"/>
    </row>
    <row r="86" spans="4:4">
      <c r="D86" s="80"/>
    </row>
    <row r="87" spans="4:4">
      <c r="D87" s="80"/>
    </row>
    <row r="88" spans="4:4">
      <c r="D88" s="80"/>
    </row>
    <row r="89" spans="4:4">
      <c r="D89" s="80"/>
    </row>
    <row r="90" spans="4:4">
      <c r="D90" s="80"/>
    </row>
    <row r="91" spans="4:4">
      <c r="D91" s="80"/>
    </row>
    <row r="92" spans="4:4">
      <c r="D92" s="80"/>
    </row>
    <row r="93" spans="4:4">
      <c r="D93" s="80"/>
    </row>
    <row r="94" spans="4:4">
      <c r="D94" s="80"/>
    </row>
    <row r="95" spans="4:4">
      <c r="D95" s="80"/>
    </row>
    <row r="96" spans="4:4">
      <c r="D96" s="80"/>
    </row>
    <row r="97" spans="4:4">
      <c r="D97" s="80"/>
    </row>
    <row r="98" spans="4:4">
      <c r="D98" s="80"/>
    </row>
    <row r="99" spans="4:4">
      <c r="D99" s="80"/>
    </row>
    <row r="100" spans="4:4">
      <c r="D100" s="80"/>
    </row>
    <row r="101" spans="4:4">
      <c r="D101" s="80"/>
    </row>
    <row r="102" spans="4:4">
      <c r="D102" s="80"/>
    </row>
    <row r="103" spans="4:4">
      <c r="D103" s="80"/>
    </row>
    <row r="104" spans="4:4">
      <c r="D104" s="80"/>
    </row>
    <row r="105" spans="4:4">
      <c r="D105" s="80"/>
    </row>
    <row r="106" spans="4:4">
      <c r="D106" s="80"/>
    </row>
    <row r="107" spans="4:4">
      <c r="D107" s="80"/>
    </row>
    <row r="108" spans="4:4">
      <c r="D108" s="80"/>
    </row>
    <row r="109" spans="4:4">
      <c r="D109" s="80"/>
    </row>
    <row r="110" spans="4:4">
      <c r="D110" s="80"/>
    </row>
    <row r="111" spans="4:4">
      <c r="D111" s="80"/>
    </row>
    <row r="112" spans="4:4">
      <c r="D112" s="80"/>
    </row>
    <row r="113" spans="4:4">
      <c r="D113" s="80"/>
    </row>
    <row r="114" spans="4:4">
      <c r="D114" s="80"/>
    </row>
    <row r="115" spans="4:4">
      <c r="D115" s="80"/>
    </row>
    <row r="116" spans="4:4">
      <c r="D116" s="80"/>
    </row>
    <row r="117" spans="4:4">
      <c r="D117" s="80"/>
    </row>
    <row r="118" spans="4:4">
      <c r="D118" s="80"/>
    </row>
    <row r="119" spans="4:4">
      <c r="D119" s="80"/>
    </row>
    <row r="120" spans="4:4">
      <c r="D120" s="80"/>
    </row>
    <row r="121" spans="4:4">
      <c r="D121" s="80"/>
    </row>
    <row r="122" spans="4:4">
      <c r="D122" s="80"/>
    </row>
    <row r="123" spans="4:4">
      <c r="D123" s="80"/>
    </row>
    <row r="124" spans="4:4">
      <c r="D124" s="80"/>
    </row>
    <row r="125" spans="4:4">
      <c r="D125" s="80"/>
    </row>
    <row r="126" spans="4:4">
      <c r="D126" s="80"/>
    </row>
    <row r="127" spans="4:4">
      <c r="D127" s="80"/>
    </row>
    <row r="128" spans="4:4">
      <c r="D128" s="80"/>
    </row>
    <row r="129" spans="4:4">
      <c r="D129" s="80"/>
    </row>
    <row r="130" spans="4:4">
      <c r="D130" s="80"/>
    </row>
    <row r="131" spans="4:4">
      <c r="D131" s="80"/>
    </row>
    <row r="132" spans="4:4">
      <c r="D132" s="80"/>
    </row>
    <row r="133" spans="4:4">
      <c r="D133" s="80"/>
    </row>
    <row r="134" spans="4:4">
      <c r="D134" s="80"/>
    </row>
    <row r="135" spans="4:4">
      <c r="D135" s="80"/>
    </row>
    <row r="136" spans="4:4">
      <c r="D136" s="80"/>
    </row>
    <row r="137" spans="4:4">
      <c r="D137" s="80"/>
    </row>
    <row r="138" spans="4:4">
      <c r="D138" s="80"/>
    </row>
    <row r="139" spans="4:4">
      <c r="D139" s="80"/>
    </row>
    <row r="140" spans="4:4">
      <c r="D140" s="80"/>
    </row>
    <row r="141" spans="4:4">
      <c r="D141" s="80"/>
    </row>
    <row r="142" spans="4:4">
      <c r="D142" s="80"/>
    </row>
    <row r="143" spans="4:4">
      <c r="D143" s="80"/>
    </row>
    <row r="144" spans="4:4">
      <c r="D144" s="80"/>
    </row>
    <row r="145" spans="4:4">
      <c r="D145" s="80"/>
    </row>
    <row r="146" spans="4:4">
      <c r="D146" s="80"/>
    </row>
    <row r="147" spans="4:4">
      <c r="D147" s="80"/>
    </row>
    <row r="148" spans="4:4">
      <c r="D148" s="80"/>
    </row>
    <row r="149" spans="4:4">
      <c r="D149" s="80"/>
    </row>
    <row r="150" spans="4:4">
      <c r="D150" s="80"/>
    </row>
    <row r="151" spans="4:4">
      <c r="D151" s="80"/>
    </row>
    <row r="152" spans="4:4">
      <c r="D152" s="80"/>
    </row>
    <row r="153" spans="4:4">
      <c r="D153" s="80"/>
    </row>
    <row r="154" spans="4:4">
      <c r="D154" s="80"/>
    </row>
    <row r="155" spans="4:4">
      <c r="D155" s="80"/>
    </row>
    <row r="156" spans="4:4">
      <c r="D156" s="80"/>
    </row>
    <row r="157" spans="4:4">
      <c r="D157" s="80"/>
    </row>
    <row r="158" spans="4:4">
      <c r="D158" s="80"/>
    </row>
    <row r="159" spans="4:4">
      <c r="D159" s="80"/>
    </row>
  </sheetData>
  <mergeCells count="1">
    <mergeCell ref="C26:D26"/>
  </mergeCells>
  <pageMargins left="0.511811024" right="0.511811024" top="0.78740157499999996" bottom="0.78740157499999996" header="0.31496062000000002" footer="0.31496062000000002"/>
  <pageSetup paperSize="9" scale="75" orientation="landscape" horizontalDpi="4294967293" verticalDpi="4294967293" r:id="rId1"/>
  <rowBreaks count="1" manualBreakCount="1">
    <brk id="31" max="13" man="1"/>
  </rowBreaks>
  <colBreaks count="1" manualBreakCount="1">
    <brk id="14" max="2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22"/>
  <sheetViews>
    <sheetView workbookViewId="0">
      <selection activeCell="D1" sqref="D1:G1"/>
    </sheetView>
  </sheetViews>
  <sheetFormatPr defaultRowHeight="15"/>
  <cols>
    <col min="1" max="1" width="9.5703125" style="5" bestFit="1" customWidth="1"/>
    <col min="2" max="2" width="9.140625" style="5"/>
    <col min="3" max="3" width="50.42578125" style="2" customWidth="1"/>
    <col min="4" max="4" width="3" style="2" customWidth="1"/>
    <col min="5" max="5" width="9.140625" style="5"/>
    <col min="6" max="6" width="12.5703125" style="5" bestFit="1" customWidth="1"/>
    <col min="7" max="7" width="48.7109375" style="2" customWidth="1"/>
    <col min="8" max="62" width="9.140625" style="2"/>
  </cols>
  <sheetData>
    <row r="1" spans="1:7" ht="94.5" customHeight="1">
      <c r="A1" s="277"/>
      <c r="B1" s="277"/>
      <c r="C1" s="277"/>
      <c r="D1" s="278"/>
      <c r="E1" s="279"/>
      <c r="F1" s="279"/>
      <c r="G1" s="280"/>
    </row>
    <row r="3" spans="1:7" ht="15.75">
      <c r="A3" s="281" t="s">
        <v>2</v>
      </c>
      <c r="B3" s="281"/>
      <c r="C3" s="281"/>
      <c r="D3" s="6"/>
      <c r="E3" s="281" t="s">
        <v>3</v>
      </c>
      <c r="F3" s="281"/>
      <c r="G3" s="281"/>
    </row>
    <row r="4" spans="1:7">
      <c r="A4" s="130">
        <v>0.23050000000000001</v>
      </c>
      <c r="B4" s="7" t="s">
        <v>4</v>
      </c>
      <c r="C4" s="8" t="s">
        <v>5</v>
      </c>
      <c r="D4" s="6"/>
      <c r="E4" s="128">
        <v>15</v>
      </c>
      <c r="F4" s="7" t="s">
        <v>6</v>
      </c>
      <c r="G4" s="8" t="s">
        <v>7</v>
      </c>
    </row>
    <row r="5" spans="1:7">
      <c r="A5" s="130">
        <v>0.33</v>
      </c>
      <c r="B5" s="9" t="s">
        <v>4</v>
      </c>
      <c r="C5" s="8" t="s">
        <v>8</v>
      </c>
      <c r="D5" s="10"/>
      <c r="E5" s="128">
        <v>15</v>
      </c>
      <c r="F5" s="11" t="s">
        <v>6</v>
      </c>
      <c r="G5" s="8" t="s">
        <v>9</v>
      </c>
    </row>
    <row r="6" spans="1:7">
      <c r="A6" s="130">
        <v>0.04</v>
      </c>
      <c r="B6" s="7" t="s">
        <v>4</v>
      </c>
      <c r="C6" s="8" t="s">
        <v>10</v>
      </c>
      <c r="D6" s="10"/>
      <c r="E6" s="129">
        <v>0.2</v>
      </c>
      <c r="F6" s="7" t="s">
        <v>11</v>
      </c>
      <c r="G6" s="8" t="s">
        <v>12</v>
      </c>
    </row>
    <row r="7" spans="1:7">
      <c r="A7" s="130">
        <v>4.0000000000000001E-3</v>
      </c>
      <c r="B7" s="7" t="s">
        <v>13</v>
      </c>
      <c r="C7" s="8" t="s">
        <v>14</v>
      </c>
      <c r="D7" s="10"/>
      <c r="E7" s="129">
        <v>0.15</v>
      </c>
      <c r="F7" s="11" t="s">
        <v>11</v>
      </c>
      <c r="G7" s="8" t="s">
        <v>15</v>
      </c>
    </row>
    <row r="8" spans="1:7">
      <c r="A8" s="130">
        <v>4.0000000000000001E-3</v>
      </c>
      <c r="B8" s="11" t="s">
        <v>13</v>
      </c>
      <c r="C8" s="8" t="s">
        <v>16</v>
      </c>
      <c r="D8" s="10"/>
      <c r="E8" s="12">
        <v>0.12</v>
      </c>
      <c r="F8" s="7" t="s">
        <v>11</v>
      </c>
      <c r="G8" s="8" t="s">
        <v>17</v>
      </c>
    </row>
    <row r="9" spans="1:7">
      <c r="A9" s="131">
        <v>2</v>
      </c>
      <c r="B9" s="7" t="s">
        <v>18</v>
      </c>
      <c r="C9" s="8" t="s">
        <v>19</v>
      </c>
      <c r="D9" s="10"/>
      <c r="E9" s="12">
        <v>0.03</v>
      </c>
      <c r="F9" s="7" t="s">
        <v>11</v>
      </c>
      <c r="G9" s="8" t="s">
        <v>24</v>
      </c>
    </row>
    <row r="10" spans="1:7">
      <c r="A10" s="131">
        <v>2</v>
      </c>
      <c r="B10" s="11" t="s">
        <v>18</v>
      </c>
      <c r="C10" s="8" t="s">
        <v>20</v>
      </c>
      <c r="D10" s="10"/>
      <c r="E10" s="12">
        <v>0.03</v>
      </c>
      <c r="F10" s="7" t="s">
        <v>11</v>
      </c>
      <c r="G10" s="8" t="s">
        <v>25</v>
      </c>
    </row>
    <row r="11" spans="1:7">
      <c r="A11" s="132">
        <v>85000</v>
      </c>
      <c r="B11" s="7" t="s">
        <v>21</v>
      </c>
      <c r="C11" s="8" t="s">
        <v>22</v>
      </c>
      <c r="D11" s="10"/>
      <c r="E11" s="12">
        <v>6.4999999999999997E-3</v>
      </c>
      <c r="F11" s="7" t="s">
        <v>11</v>
      </c>
      <c r="G11" s="8" t="s">
        <v>26</v>
      </c>
    </row>
    <row r="12" spans="1:7">
      <c r="A12" s="132">
        <v>85000</v>
      </c>
      <c r="B12" s="11" t="s">
        <v>21</v>
      </c>
      <c r="C12" s="8" t="s">
        <v>23</v>
      </c>
      <c r="D12" s="10"/>
      <c r="E12" s="12">
        <v>0.03</v>
      </c>
      <c r="F12" s="7" t="s">
        <v>11</v>
      </c>
      <c r="G12" s="8" t="s">
        <v>27</v>
      </c>
    </row>
    <row r="13" spans="1:7">
      <c r="A13" s="282"/>
      <c r="B13" s="282"/>
      <c r="C13" s="282"/>
      <c r="D13" s="10"/>
    </row>
    <row r="14" spans="1:7">
      <c r="A14" s="13"/>
      <c r="B14" s="13"/>
      <c r="C14" s="14"/>
      <c r="D14" s="10"/>
    </row>
    <row r="15" spans="1:7">
      <c r="D15" s="10"/>
    </row>
    <row r="16" spans="1:7">
      <c r="D16" s="10"/>
    </row>
    <row r="17" spans="4:4">
      <c r="D17" s="10"/>
    </row>
    <row r="18" spans="4:4">
      <c r="D18" s="10"/>
    </row>
    <row r="19" spans="4:4">
      <c r="D19" s="15"/>
    </row>
    <row r="20" spans="4:4">
      <c r="D20" s="16"/>
    </row>
    <row r="21" spans="4:4">
      <c r="D21" s="16"/>
    </row>
    <row r="22" spans="4:4">
      <c r="D22" s="15"/>
    </row>
  </sheetData>
  <mergeCells count="5">
    <mergeCell ref="A1:C1"/>
    <mergeCell ref="D1:G1"/>
    <mergeCell ref="A3:C3"/>
    <mergeCell ref="A13:C13"/>
    <mergeCell ref="E3:G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291"/>
  <sheetViews>
    <sheetView topLeftCell="A82" workbookViewId="0">
      <selection activeCell="D101" sqref="B90:D101"/>
    </sheetView>
  </sheetViews>
  <sheetFormatPr defaultRowHeight="15"/>
  <cols>
    <col min="1" max="1" width="27.28515625" customWidth="1"/>
    <col min="2" max="2" width="22.5703125" customWidth="1"/>
    <col min="3" max="3" width="21.5703125" customWidth="1"/>
    <col min="4" max="4" width="22.42578125" customWidth="1"/>
    <col min="5" max="5" width="9.140625" style="2"/>
    <col min="6" max="6" width="18.85546875" style="2" customWidth="1"/>
    <col min="7" max="7" width="17.5703125" style="2" customWidth="1"/>
    <col min="8" max="8" width="9.140625" style="2"/>
    <col min="9" max="10" width="14.28515625" style="2" bestFit="1" customWidth="1"/>
    <col min="11" max="41" width="9.140625" style="2"/>
  </cols>
  <sheetData>
    <row r="1" spans="1:6" ht="113.25" customHeight="1">
      <c r="A1" s="291"/>
      <c r="B1" s="291"/>
      <c r="C1" s="292" t="s">
        <v>163</v>
      </c>
      <c r="D1" s="292"/>
    </row>
    <row r="2" spans="1:6" ht="15.75">
      <c r="A2" s="292" t="s">
        <v>28</v>
      </c>
      <c r="B2" s="292"/>
      <c r="C2" s="17" t="s">
        <v>29</v>
      </c>
      <c r="D2" s="17" t="s">
        <v>30</v>
      </c>
    </row>
    <row r="3" spans="1:6" ht="30" customHeight="1">
      <c r="A3" s="292"/>
      <c r="B3" s="292"/>
      <c r="C3" s="18">
        <f>D3*12</f>
        <v>1278294.96</v>
      </c>
      <c r="D3" s="18">
        <f>92024.58+14500</f>
        <v>106524.58</v>
      </c>
    </row>
    <row r="4" spans="1:6" s="2" customFormat="1"/>
    <row r="5" spans="1:6">
      <c r="A5" s="293" t="s">
        <v>31</v>
      </c>
      <c r="B5" s="293"/>
      <c r="C5" s="293"/>
      <c r="D5" s="293"/>
    </row>
    <row r="6" spans="1:6">
      <c r="A6" s="294" t="s">
        <v>32</v>
      </c>
      <c r="B6" s="294"/>
      <c r="C6" s="294"/>
      <c r="D6" s="294"/>
    </row>
    <row r="7" spans="1:6">
      <c r="A7" s="294" t="s">
        <v>33</v>
      </c>
      <c r="B7" s="294"/>
      <c r="C7" s="294"/>
      <c r="D7" s="294"/>
    </row>
    <row r="8" spans="1:6">
      <c r="A8" s="294" t="s">
        <v>34</v>
      </c>
      <c r="B8" s="294"/>
      <c r="C8" s="294"/>
      <c r="D8" s="294"/>
    </row>
    <row r="9" spans="1:6" s="2" customFormat="1">
      <c r="A9" s="295"/>
      <c r="B9" s="295"/>
      <c r="C9" s="295"/>
      <c r="D9" s="295"/>
    </row>
    <row r="10" spans="1:6">
      <c r="A10" s="293" t="s">
        <v>33</v>
      </c>
      <c r="B10" s="293"/>
      <c r="C10" s="293"/>
      <c r="D10" s="293"/>
    </row>
    <row r="11" spans="1:6">
      <c r="A11" s="293" t="s">
        <v>35</v>
      </c>
      <c r="B11" s="293"/>
      <c r="C11" s="19" t="s">
        <v>36</v>
      </c>
      <c r="D11" s="19" t="s">
        <v>37</v>
      </c>
    </row>
    <row r="12" spans="1:6">
      <c r="A12" s="296" t="s">
        <v>38</v>
      </c>
      <c r="B12" s="297"/>
      <c r="C12" s="20">
        <v>3.18</v>
      </c>
      <c r="D12" s="20">
        <v>3.19</v>
      </c>
    </row>
    <row r="13" spans="1:6">
      <c r="A13" s="287" t="s">
        <v>39</v>
      </c>
      <c r="B13" s="288"/>
      <c r="C13" s="289"/>
      <c r="D13" s="290"/>
    </row>
    <row r="14" spans="1:6">
      <c r="A14" s="283"/>
      <c r="B14" s="284"/>
      <c r="C14" s="21" t="s">
        <v>40</v>
      </c>
      <c r="D14" s="72" t="s">
        <v>41</v>
      </c>
    </row>
    <row r="15" spans="1:6">
      <c r="A15" s="285" t="s">
        <v>42</v>
      </c>
      <c r="B15" s="286"/>
      <c r="C15" s="61">
        <v>990</v>
      </c>
      <c r="D15" s="22">
        <v>1750</v>
      </c>
    </row>
    <row r="16" spans="1:6">
      <c r="A16" s="285" t="s">
        <v>43</v>
      </c>
      <c r="B16" s="286"/>
      <c r="C16" s="61">
        <v>410</v>
      </c>
      <c r="D16" s="22">
        <v>550</v>
      </c>
      <c r="F16" s="2" t="s">
        <v>388</v>
      </c>
    </row>
    <row r="17" spans="1:7">
      <c r="A17" s="315" t="s">
        <v>44</v>
      </c>
      <c r="B17" s="316"/>
      <c r="C17" s="61">
        <v>215000</v>
      </c>
      <c r="D17" s="22">
        <v>295222</v>
      </c>
    </row>
    <row r="18" spans="1:7">
      <c r="A18" s="301" t="s">
        <v>45</v>
      </c>
      <c r="B18" s="302"/>
      <c r="C18" s="303"/>
      <c r="D18" s="22">
        <v>112.5</v>
      </c>
    </row>
    <row r="19" spans="1:7">
      <c r="A19" s="301" t="s">
        <v>46</v>
      </c>
      <c r="B19" s="302"/>
      <c r="C19" s="303"/>
      <c r="D19" s="22">
        <v>315</v>
      </c>
    </row>
    <row r="20" spans="1:7">
      <c r="A20" s="301" t="s">
        <v>47</v>
      </c>
      <c r="B20" s="302"/>
      <c r="C20" s="303"/>
      <c r="D20" s="22">
        <v>106.44</v>
      </c>
    </row>
    <row r="21" spans="1:7">
      <c r="A21" s="301" t="s">
        <v>48</v>
      </c>
      <c r="B21" s="302"/>
      <c r="C21" s="303"/>
      <c r="D21" s="22">
        <v>136.72</v>
      </c>
    </row>
    <row r="22" spans="1:7" s="2" customFormat="1"/>
    <row r="23" spans="1:7">
      <c r="A23" s="23" t="s">
        <v>49</v>
      </c>
      <c r="B23" s="24" t="s">
        <v>50</v>
      </c>
      <c r="C23" s="19" t="s">
        <v>40</v>
      </c>
      <c r="D23" s="19" t="s">
        <v>41</v>
      </c>
    </row>
    <row r="24" spans="1:7" ht="45.75" customHeight="1">
      <c r="A24" s="25" t="s">
        <v>51</v>
      </c>
      <c r="B24" s="26" t="s">
        <v>52</v>
      </c>
      <c r="C24" s="262">
        <v>480</v>
      </c>
      <c r="D24" s="262">
        <v>480</v>
      </c>
    </row>
    <row r="25" spans="1:7">
      <c r="A25" s="27" t="s">
        <v>53</v>
      </c>
      <c r="B25" s="28" t="s">
        <v>54</v>
      </c>
      <c r="C25" s="29">
        <v>1</v>
      </c>
      <c r="D25" s="29">
        <v>22</v>
      </c>
    </row>
    <row r="26" spans="1:7" ht="15" customHeight="1">
      <c r="A26" s="27" t="s">
        <v>55</v>
      </c>
      <c r="B26" s="26" t="s">
        <v>52</v>
      </c>
      <c r="C26" s="22">
        <f>C25*C24</f>
        <v>480</v>
      </c>
      <c r="D26" s="22">
        <f>D25*D24</f>
        <v>10560</v>
      </c>
    </row>
    <row r="27" spans="1:7">
      <c r="A27" s="30" t="s">
        <v>56</v>
      </c>
      <c r="B27" s="31"/>
      <c r="C27" s="304">
        <f>C26+D26</f>
        <v>11040</v>
      </c>
      <c r="D27" s="305"/>
      <c r="F27" s="71"/>
      <c r="G27" s="71"/>
    </row>
    <row r="28" spans="1:7" s="2" customFormat="1"/>
    <row r="29" spans="1:7" s="2" customFormat="1">
      <c r="A29" s="293" t="s">
        <v>57</v>
      </c>
      <c r="B29" s="293"/>
      <c r="C29" s="293"/>
      <c r="D29" s="293"/>
    </row>
    <row r="30" spans="1:7" s="2" customFormat="1">
      <c r="A30" s="32" t="s">
        <v>58</v>
      </c>
      <c r="B30" s="19" t="s">
        <v>40</v>
      </c>
      <c r="C30" s="19" t="s">
        <v>41</v>
      </c>
      <c r="D30" s="33" t="s">
        <v>59</v>
      </c>
    </row>
    <row r="31" spans="1:7" s="2" customFormat="1">
      <c r="A31" s="27" t="s">
        <v>60</v>
      </c>
      <c r="B31" s="29">
        <v>1</v>
      </c>
      <c r="C31" s="29">
        <v>20</v>
      </c>
      <c r="D31" s="29">
        <f>C31+B31</f>
        <v>21</v>
      </c>
    </row>
    <row r="32" spans="1:7" s="2" customFormat="1">
      <c r="A32" s="27" t="s">
        <v>61</v>
      </c>
      <c r="B32" s="29">
        <v>0</v>
      </c>
      <c r="C32" s="29">
        <v>2</v>
      </c>
      <c r="D32" s="29">
        <f t="shared" ref="D32:D33" si="0">C32+B32</f>
        <v>2</v>
      </c>
    </row>
    <row r="33" spans="1:4" s="2" customFormat="1">
      <c r="A33" s="27" t="s">
        <v>62</v>
      </c>
      <c r="B33" s="29">
        <f>SUM(B31:B32)</f>
        <v>1</v>
      </c>
      <c r="C33" s="29">
        <f>SUM(C31:C32)</f>
        <v>22</v>
      </c>
      <c r="D33" s="29">
        <f t="shared" si="0"/>
        <v>23</v>
      </c>
    </row>
    <row r="34" spans="1:4" s="2" customFormat="1">
      <c r="A34" s="27" t="s">
        <v>63</v>
      </c>
      <c r="B34" s="34">
        <f>B32/B33</f>
        <v>0</v>
      </c>
      <c r="C34" s="34">
        <f>C32/C33</f>
        <v>9.0909090909090912E-2</v>
      </c>
      <c r="D34" s="34">
        <f>D32/D33</f>
        <v>8.6956521739130432E-2</v>
      </c>
    </row>
    <row r="35" spans="1:4" s="2" customFormat="1"/>
    <row r="36" spans="1:4" s="2" customFormat="1">
      <c r="A36" s="35" t="s">
        <v>64</v>
      </c>
      <c r="B36" s="19" t="s">
        <v>40</v>
      </c>
      <c r="C36" s="19" t="s">
        <v>41</v>
      </c>
      <c r="D36" s="19" t="s">
        <v>59</v>
      </c>
    </row>
    <row r="37" spans="1:4" s="2" customFormat="1">
      <c r="A37" s="27" t="s">
        <v>65</v>
      </c>
      <c r="B37" s="36">
        <f>B39-B38</f>
        <v>7784.4885384615382</v>
      </c>
      <c r="C37" s="36">
        <f>C39-C38</f>
        <v>93413.862461538462</v>
      </c>
      <c r="D37" s="36">
        <f>B37+C37</f>
        <v>101198.351</v>
      </c>
    </row>
    <row r="38" spans="1:4" s="2" customFormat="1">
      <c r="A38" s="27" t="s">
        <v>66</v>
      </c>
      <c r="B38" s="36">
        <f>B39*B40</f>
        <v>409.70992307692308</v>
      </c>
      <c r="C38" s="36">
        <f>C39*C40</f>
        <v>4916.5190769230776</v>
      </c>
      <c r="D38" s="36">
        <f>B38+C38</f>
        <v>5326.2290000000003</v>
      </c>
    </row>
    <row r="39" spans="1:4" s="2" customFormat="1">
      <c r="A39" s="27" t="s">
        <v>67</v>
      </c>
      <c r="B39" s="36">
        <v>8194.1984615384608</v>
      </c>
      <c r="C39" s="36">
        <v>98330.381538461545</v>
      </c>
      <c r="D39" s="36">
        <f>SUM(D37:D38)</f>
        <v>106524.58</v>
      </c>
    </row>
    <row r="40" spans="1:4" s="2" customFormat="1">
      <c r="A40" s="27" t="s">
        <v>68</v>
      </c>
      <c r="B40" s="37">
        <v>0.05</v>
      </c>
      <c r="C40" s="37">
        <v>0.05</v>
      </c>
      <c r="D40" s="37">
        <f>D38/D39</f>
        <v>0.05</v>
      </c>
    </row>
    <row r="41" spans="1:4" s="2" customFormat="1"/>
    <row r="42" spans="1:4" s="2" customFormat="1">
      <c r="A42" s="293" t="s">
        <v>69</v>
      </c>
      <c r="B42" s="293"/>
      <c r="C42" s="19" t="s">
        <v>70</v>
      </c>
      <c r="D42" s="38" t="s">
        <v>59</v>
      </c>
    </row>
    <row r="43" spans="1:4" s="2" customFormat="1">
      <c r="A43" s="307" t="s">
        <v>71</v>
      </c>
      <c r="B43" s="307"/>
      <c r="C43" s="39" t="s">
        <v>72</v>
      </c>
      <c r="D43" s="67">
        <f>D106</f>
        <v>90003.252283105016</v>
      </c>
    </row>
    <row r="44" spans="1:4" s="2" customFormat="1">
      <c r="A44" s="308"/>
      <c r="B44" s="309"/>
      <c r="C44" s="309"/>
      <c r="D44" s="310"/>
    </row>
    <row r="45" spans="1:4" s="2" customFormat="1">
      <c r="A45" s="23" t="s">
        <v>73</v>
      </c>
      <c r="B45" s="19" t="s">
        <v>74</v>
      </c>
      <c r="C45" s="19" t="s">
        <v>40</v>
      </c>
      <c r="D45" s="19" t="s">
        <v>41</v>
      </c>
    </row>
    <row r="46" spans="1:4" s="2" customFormat="1">
      <c r="A46" s="27" t="s">
        <v>75</v>
      </c>
      <c r="B46" s="40" t="s">
        <v>76</v>
      </c>
      <c r="C46" s="40">
        <v>15</v>
      </c>
      <c r="D46" s="40">
        <v>15</v>
      </c>
    </row>
    <row r="47" spans="1:4" s="2" customFormat="1">
      <c r="A47" s="308"/>
      <c r="B47" s="309"/>
      <c r="C47" s="309"/>
      <c r="D47" s="310"/>
    </row>
    <row r="48" spans="1:4" s="2" customFormat="1">
      <c r="A48" s="23" t="s">
        <v>77</v>
      </c>
      <c r="B48" s="19" t="s">
        <v>74</v>
      </c>
      <c r="C48" s="19" t="s">
        <v>40</v>
      </c>
      <c r="D48" s="19" t="s">
        <v>41</v>
      </c>
    </row>
    <row r="49" spans="1:7" s="2" customFormat="1">
      <c r="A49" s="27" t="s">
        <v>78</v>
      </c>
      <c r="B49" s="40" t="s">
        <v>79</v>
      </c>
      <c r="C49" s="41">
        <v>0.1</v>
      </c>
      <c r="D49" s="41">
        <v>0.1</v>
      </c>
    </row>
    <row r="50" spans="1:7" s="2" customFormat="1"/>
    <row r="51" spans="1:7" s="2" customFormat="1">
      <c r="A51" s="293" t="s">
        <v>80</v>
      </c>
      <c r="B51" s="293"/>
      <c r="C51" s="293"/>
      <c r="D51" s="293"/>
      <c r="E51" s="293"/>
    </row>
    <row r="52" spans="1:7" s="2" customFormat="1">
      <c r="A52" s="32" t="s">
        <v>81</v>
      </c>
      <c r="B52" s="19" t="s">
        <v>40</v>
      </c>
      <c r="C52" s="19" t="s">
        <v>41</v>
      </c>
      <c r="D52" s="19" t="s">
        <v>79</v>
      </c>
      <c r="E52" s="19" t="s">
        <v>82</v>
      </c>
      <c r="F52" s="19" t="s">
        <v>318</v>
      </c>
      <c r="G52" s="19" t="s">
        <v>319</v>
      </c>
    </row>
    <row r="53" spans="1:7" s="2" customFormat="1">
      <c r="A53" s="27" t="s">
        <v>83</v>
      </c>
      <c r="B53" s="29">
        <v>0</v>
      </c>
      <c r="C53" s="29"/>
      <c r="D53" s="34">
        <f>(B53+C53)/$E$69</f>
        <v>0</v>
      </c>
      <c r="E53" s="4">
        <v>1</v>
      </c>
      <c r="F53" s="61">
        <v>296296</v>
      </c>
      <c r="G53" s="76">
        <f t="shared" ref="G53:G59" si="1">F53*C53</f>
        <v>0</v>
      </c>
    </row>
    <row r="54" spans="1:7" s="2" customFormat="1">
      <c r="A54" s="27" t="s">
        <v>84</v>
      </c>
      <c r="B54" s="29">
        <v>0</v>
      </c>
      <c r="C54" s="29">
        <v>0</v>
      </c>
      <c r="D54" s="34">
        <f t="shared" ref="D54:D68" si="2">(B54+C54)/$E$69</f>
        <v>0</v>
      </c>
      <c r="E54" s="4">
        <v>2</v>
      </c>
      <c r="F54" s="61">
        <v>283614</v>
      </c>
      <c r="G54" s="76">
        <f t="shared" si="1"/>
        <v>0</v>
      </c>
    </row>
    <row r="55" spans="1:7" s="2" customFormat="1">
      <c r="A55" s="27" t="s">
        <v>85</v>
      </c>
      <c r="B55" s="29">
        <v>0</v>
      </c>
      <c r="C55" s="29">
        <v>1</v>
      </c>
      <c r="D55" s="34">
        <f t="shared" ref="D55:D66" si="3">(B55+C55)/$E$69</f>
        <v>4.3478260869565216E-2</v>
      </c>
      <c r="E55" s="4">
        <v>3</v>
      </c>
      <c r="F55" s="61">
        <v>261574</v>
      </c>
      <c r="G55" s="76">
        <f t="shared" si="1"/>
        <v>261574</v>
      </c>
    </row>
    <row r="56" spans="1:7" s="2" customFormat="1">
      <c r="A56" s="27" t="s">
        <v>86</v>
      </c>
      <c r="B56" s="29">
        <v>0</v>
      </c>
      <c r="C56" s="29">
        <v>0</v>
      </c>
      <c r="D56" s="34">
        <f t="shared" si="3"/>
        <v>0</v>
      </c>
      <c r="E56" s="4">
        <v>4</v>
      </c>
      <c r="F56" s="61">
        <v>251358</v>
      </c>
      <c r="G56" s="76">
        <f t="shared" si="1"/>
        <v>0</v>
      </c>
    </row>
    <row r="57" spans="1:7" s="2" customFormat="1">
      <c r="A57" s="27" t="s">
        <v>87</v>
      </c>
      <c r="B57" s="29">
        <v>0</v>
      </c>
      <c r="C57" s="29">
        <v>2</v>
      </c>
      <c r="D57" s="34">
        <f t="shared" si="3"/>
        <v>8.6956521739130432E-2</v>
      </c>
      <c r="E57" s="4">
        <v>5</v>
      </c>
      <c r="F57" s="61">
        <v>233378</v>
      </c>
      <c r="G57" s="76">
        <f t="shared" si="1"/>
        <v>466756</v>
      </c>
    </row>
    <row r="58" spans="1:7" s="2" customFormat="1">
      <c r="A58" s="27" t="s">
        <v>88</v>
      </c>
      <c r="B58" s="29">
        <v>0</v>
      </c>
      <c r="C58" s="29">
        <v>0</v>
      </c>
      <c r="D58" s="34">
        <f t="shared" si="3"/>
        <v>0</v>
      </c>
      <c r="E58" s="4">
        <v>6</v>
      </c>
      <c r="F58" s="61">
        <v>222502</v>
      </c>
      <c r="G58" s="76">
        <f t="shared" si="1"/>
        <v>0</v>
      </c>
    </row>
    <row r="59" spans="1:7" s="2" customFormat="1">
      <c r="A59" s="27" t="s">
        <v>89</v>
      </c>
      <c r="B59" s="29">
        <v>0</v>
      </c>
      <c r="C59" s="29">
        <v>0</v>
      </c>
      <c r="D59" s="34">
        <f t="shared" si="3"/>
        <v>0</v>
      </c>
      <c r="E59" s="4">
        <v>7</v>
      </c>
      <c r="F59" s="61">
        <v>215788</v>
      </c>
      <c r="G59" s="76">
        <f t="shared" si="1"/>
        <v>0</v>
      </c>
    </row>
    <row r="60" spans="1:7" s="2" customFormat="1">
      <c r="A60" s="27" t="s">
        <v>90</v>
      </c>
      <c r="B60" s="29">
        <v>2</v>
      </c>
      <c r="C60" s="29">
        <v>3</v>
      </c>
      <c r="D60" s="34">
        <f t="shared" si="3"/>
        <v>0.21739130434782608</v>
      </c>
      <c r="E60" s="4">
        <v>8</v>
      </c>
      <c r="F60" s="61">
        <v>207330</v>
      </c>
      <c r="G60" s="76">
        <f>F60*B60*0.725</f>
        <v>300628.5</v>
      </c>
    </row>
    <row r="61" spans="1:7" s="2" customFormat="1">
      <c r="A61" s="27" t="s">
        <v>91</v>
      </c>
      <c r="B61" s="29">
        <v>0</v>
      </c>
      <c r="C61" s="29">
        <v>3</v>
      </c>
      <c r="D61" s="34">
        <f t="shared" si="3"/>
        <v>0.13043478260869565</v>
      </c>
      <c r="E61" s="4">
        <v>9</v>
      </c>
      <c r="F61" s="61">
        <v>200460</v>
      </c>
      <c r="G61" s="76">
        <f t="shared" ref="G61:G67" si="4">F61*C61</f>
        <v>601380</v>
      </c>
    </row>
    <row r="62" spans="1:7" s="2" customFormat="1">
      <c r="A62" s="27" t="s">
        <v>92</v>
      </c>
      <c r="B62" s="29">
        <v>0</v>
      </c>
      <c r="C62" s="29">
        <v>3</v>
      </c>
      <c r="D62" s="34">
        <f t="shared" si="3"/>
        <v>0.13043478260869565</v>
      </c>
      <c r="E62" s="4">
        <v>10</v>
      </c>
      <c r="F62" s="61">
        <v>193817.64144118072</v>
      </c>
      <c r="G62" s="76">
        <f t="shared" si="4"/>
        <v>581452.92432354216</v>
      </c>
    </row>
    <row r="63" spans="1:7" s="2" customFormat="1">
      <c r="A63" s="27" t="s">
        <v>93</v>
      </c>
      <c r="B63" s="29">
        <v>0</v>
      </c>
      <c r="C63" s="29">
        <v>4</v>
      </c>
      <c r="D63" s="34">
        <f t="shared" si="3"/>
        <v>0.17391304347826086</v>
      </c>
      <c r="E63" s="4">
        <v>11</v>
      </c>
      <c r="F63" s="61">
        <v>187395.38129213854</v>
      </c>
      <c r="G63" s="76">
        <f t="shared" si="4"/>
        <v>749581.52516855416</v>
      </c>
    </row>
    <row r="64" spans="1:7" s="2" customFormat="1">
      <c r="A64" s="27" t="s">
        <v>94</v>
      </c>
      <c r="B64" s="29">
        <v>0</v>
      </c>
      <c r="C64" s="29">
        <v>2</v>
      </c>
      <c r="D64" s="34">
        <f t="shared" si="3"/>
        <v>8.6956521739130432E-2</v>
      </c>
      <c r="E64" s="4">
        <v>12</v>
      </c>
      <c r="F64" s="61">
        <v>181185.9264641976</v>
      </c>
      <c r="G64" s="76">
        <f t="shared" si="4"/>
        <v>362371.85292839521</v>
      </c>
    </row>
    <row r="65" spans="1:7" s="2" customFormat="1">
      <c r="A65" s="27" t="s">
        <v>95</v>
      </c>
      <c r="B65" s="29">
        <v>0</v>
      </c>
      <c r="C65" s="29">
        <v>1</v>
      </c>
      <c r="D65" s="34">
        <f t="shared" si="3"/>
        <v>4.3478260869565216E-2</v>
      </c>
      <c r="E65" s="4">
        <v>13</v>
      </c>
      <c r="F65" s="61">
        <v>175182.2255294123</v>
      </c>
      <c r="G65" s="76">
        <f t="shared" si="4"/>
        <v>175182.2255294123</v>
      </c>
    </row>
    <row r="66" spans="1:7" s="2" customFormat="1">
      <c r="A66" s="27" t="s">
        <v>96</v>
      </c>
      <c r="B66" s="29">
        <v>0</v>
      </c>
      <c r="C66" s="29">
        <v>2</v>
      </c>
      <c r="D66" s="34">
        <f t="shared" si="3"/>
        <v>8.6956521739130432E-2</v>
      </c>
      <c r="E66" s="4">
        <v>14</v>
      </c>
      <c r="F66" s="61">
        <v>169377.46071299855</v>
      </c>
      <c r="G66" s="76">
        <f t="shared" si="4"/>
        <v>338754.9214259971</v>
      </c>
    </row>
    <row r="67" spans="1:7" s="2" customFormat="1">
      <c r="A67" s="27" t="s">
        <v>97</v>
      </c>
      <c r="B67" s="29">
        <v>0</v>
      </c>
      <c r="C67" s="29">
        <v>0</v>
      </c>
      <c r="D67" s="34">
        <f t="shared" si="2"/>
        <v>0</v>
      </c>
      <c r="E67" s="4">
        <v>15</v>
      </c>
      <c r="F67" s="61">
        <v>163765.04015110063</v>
      </c>
      <c r="G67" s="76">
        <f t="shared" si="4"/>
        <v>0</v>
      </c>
    </row>
    <row r="68" spans="1:7" s="2" customFormat="1">
      <c r="A68" s="27" t="s">
        <v>98</v>
      </c>
      <c r="B68" s="74">
        <f>SUM(B53:B67)</f>
        <v>2</v>
      </c>
      <c r="C68" s="74">
        <f>SUM(C53:C67)</f>
        <v>21</v>
      </c>
      <c r="D68" s="34">
        <f t="shared" si="2"/>
        <v>1</v>
      </c>
      <c r="E68" s="3"/>
      <c r="F68" s="3"/>
      <c r="G68" s="3"/>
    </row>
    <row r="69" spans="1:7" s="2" customFormat="1">
      <c r="A69" s="306" t="s">
        <v>99</v>
      </c>
      <c r="B69" s="306"/>
      <c r="C69" s="306"/>
      <c r="D69" s="306"/>
      <c r="E69" s="19">
        <f>B68+C68</f>
        <v>23</v>
      </c>
      <c r="F69" s="19" t="s">
        <v>320</v>
      </c>
      <c r="G69" s="77">
        <f>SUM(G53:G67)</f>
        <v>3837681.9493759009</v>
      </c>
    </row>
    <row r="70" spans="1:7" s="2" customFormat="1">
      <c r="A70" s="306" t="s">
        <v>100</v>
      </c>
      <c r="B70" s="306"/>
      <c r="C70" s="306"/>
      <c r="D70" s="306"/>
      <c r="E70" s="75">
        <f>(C53*E53+C54*E54+C55*E55+C56*E56+C57*E57+C58*E58+C59*E59+C60*E60+C61*E61+C62*E62+C63*E63+C64*E64+C65*E65+C66*E66+C67*E67)/E69</f>
        <v>8.8260869565217384</v>
      </c>
    </row>
    <row r="71" spans="1:7" s="2" customFormat="1"/>
    <row r="72" spans="1:7" s="2" customFormat="1"/>
    <row r="73" spans="1:7" s="2" customFormat="1"/>
    <row r="74" spans="1:7" s="2" customFormat="1"/>
    <row r="75" spans="1:7" s="2" customFormat="1"/>
    <row r="76" spans="1:7" s="2" customFormat="1"/>
    <row r="77" spans="1:7" s="2" customFormat="1"/>
    <row r="78" spans="1:7" s="2" customFormat="1"/>
    <row r="79" spans="1:7" s="2" customFormat="1"/>
    <row r="80" spans="1:7" s="2" customFormat="1"/>
    <row r="81" spans="1:4" s="2" customFormat="1"/>
    <row r="82" spans="1:4" s="2" customFormat="1"/>
    <row r="83" spans="1:4" s="2" customFormat="1"/>
    <row r="84" spans="1:4" s="2" customFormat="1"/>
    <row r="85" spans="1:4" s="2" customFormat="1"/>
    <row r="86" spans="1:4" s="2" customFormat="1"/>
    <row r="87" spans="1:4" s="2" customFormat="1">
      <c r="A87" s="311" t="s">
        <v>268</v>
      </c>
      <c r="B87" s="312"/>
      <c r="C87" s="312"/>
      <c r="D87" s="313"/>
    </row>
    <row r="88" spans="1:4" s="2" customFormat="1">
      <c r="A88" s="314" t="s">
        <v>389</v>
      </c>
      <c r="B88" s="314"/>
      <c r="C88" s="314"/>
      <c r="D88" s="314"/>
    </row>
    <row r="89" spans="1:4" s="2" customFormat="1">
      <c r="A89" s="64"/>
      <c r="B89" s="62" t="s">
        <v>249</v>
      </c>
      <c r="C89" s="62" t="s">
        <v>321</v>
      </c>
      <c r="D89" s="62" t="s">
        <v>322</v>
      </c>
    </row>
    <row r="90" spans="1:4" s="2" customFormat="1">
      <c r="A90" s="27" t="s">
        <v>250</v>
      </c>
      <c r="B90" s="424">
        <v>31063</v>
      </c>
      <c r="C90" s="424">
        <v>17939</v>
      </c>
      <c r="D90" s="424">
        <v>2651</v>
      </c>
    </row>
    <row r="91" spans="1:4" s="2" customFormat="1">
      <c r="A91" s="27" t="s">
        <v>251</v>
      </c>
      <c r="B91" s="424">
        <v>46246</v>
      </c>
      <c r="C91" s="424">
        <v>24174</v>
      </c>
      <c r="D91" s="424">
        <v>27265</v>
      </c>
    </row>
    <row r="92" spans="1:4" s="2" customFormat="1">
      <c r="A92" s="27" t="s">
        <v>252</v>
      </c>
      <c r="B92" s="424">
        <v>55874</v>
      </c>
      <c r="C92" s="424">
        <v>25635</v>
      </c>
      <c r="D92" s="424">
        <v>51385</v>
      </c>
    </row>
    <row r="93" spans="1:4" s="2" customFormat="1">
      <c r="A93" s="27" t="s">
        <v>253</v>
      </c>
      <c r="B93" s="424">
        <v>54576</v>
      </c>
      <c r="C93" s="424">
        <v>24114</v>
      </c>
      <c r="D93" s="424">
        <v>50818</v>
      </c>
    </row>
    <row r="94" spans="1:4" s="2" customFormat="1">
      <c r="A94" s="27" t="s">
        <v>254</v>
      </c>
      <c r="B94" s="424">
        <v>55617</v>
      </c>
      <c r="C94" s="424">
        <v>24041</v>
      </c>
      <c r="D94" s="424">
        <v>49919</v>
      </c>
    </row>
    <row r="95" spans="1:4" s="2" customFormat="1">
      <c r="A95" s="27" t="s">
        <v>255</v>
      </c>
      <c r="B95" s="424">
        <v>53442</v>
      </c>
      <c r="C95" s="424">
        <v>22341</v>
      </c>
      <c r="D95" s="424">
        <v>51334</v>
      </c>
    </row>
    <row r="96" spans="1:4" s="2" customFormat="1">
      <c r="A96" s="27" t="s">
        <v>256</v>
      </c>
      <c r="B96" s="424">
        <v>48920</v>
      </c>
      <c r="C96" s="424">
        <v>22148</v>
      </c>
      <c r="D96" s="424">
        <v>29487</v>
      </c>
    </row>
    <row r="97" spans="1:4" s="2" customFormat="1">
      <c r="A97" s="27" t="s">
        <v>257</v>
      </c>
      <c r="B97" s="424">
        <v>60089</v>
      </c>
      <c r="C97" s="424">
        <v>25123</v>
      </c>
      <c r="D97" s="424">
        <v>59582</v>
      </c>
    </row>
    <row r="98" spans="1:4" s="2" customFormat="1">
      <c r="A98" s="27" t="s">
        <v>258</v>
      </c>
      <c r="B98" s="424">
        <v>52116</v>
      </c>
      <c r="C98" s="424">
        <v>22420</v>
      </c>
      <c r="D98" s="424">
        <v>50845</v>
      </c>
    </row>
    <row r="99" spans="1:4" s="2" customFormat="1">
      <c r="A99" s="27" t="s">
        <v>259</v>
      </c>
      <c r="B99" s="424">
        <v>55787</v>
      </c>
      <c r="C99" s="424">
        <v>21750</v>
      </c>
      <c r="D99" s="424">
        <v>51151</v>
      </c>
    </row>
    <row r="100" spans="1:4" s="2" customFormat="1">
      <c r="A100" s="27" t="s">
        <v>260</v>
      </c>
      <c r="B100" s="424">
        <v>53062</v>
      </c>
      <c r="C100" s="424">
        <v>20601</v>
      </c>
      <c r="D100" s="424">
        <v>50220</v>
      </c>
    </row>
    <row r="101" spans="1:4" s="2" customFormat="1">
      <c r="A101" s="27" t="s">
        <v>261</v>
      </c>
      <c r="B101" s="424">
        <v>32775</v>
      </c>
      <c r="C101" s="424">
        <v>17344</v>
      </c>
      <c r="D101" s="424">
        <v>18083</v>
      </c>
    </row>
    <row r="102" spans="1:4" s="2" customFormat="1">
      <c r="A102" s="65" t="s">
        <v>262</v>
      </c>
      <c r="B102" s="66">
        <f>SUM(B90:B101)</f>
        <v>599567</v>
      </c>
      <c r="C102" s="66">
        <f>SUM(C90:C101)</f>
        <v>267630</v>
      </c>
      <c r="D102" s="66">
        <f>SUM(D90:D101)</f>
        <v>492740</v>
      </c>
    </row>
    <row r="103" spans="1:4" s="2" customFormat="1" ht="30">
      <c r="A103" s="63" t="s">
        <v>263</v>
      </c>
      <c r="B103" s="67">
        <f>B102/12</f>
        <v>49963.916666666664</v>
      </c>
      <c r="C103" s="67">
        <f>C102/12</f>
        <v>22302.5</v>
      </c>
      <c r="D103" s="67">
        <f>D102/12</f>
        <v>41061.666666666664</v>
      </c>
    </row>
    <row r="104" spans="1:4" s="2" customFormat="1">
      <c r="A104" s="63" t="s">
        <v>264</v>
      </c>
      <c r="B104" s="68">
        <f>3.45/3.65</f>
        <v>0.94520547945205491</v>
      </c>
      <c r="C104" s="68">
        <f>3.5/3.5</f>
        <v>1</v>
      </c>
      <c r="D104" s="68">
        <f>1.82/3.65</f>
        <v>0.49863013698630138</v>
      </c>
    </row>
    <row r="105" spans="1:4" s="2" customFormat="1" ht="30">
      <c r="A105" s="63" t="s">
        <v>265</v>
      </c>
      <c r="B105" s="67">
        <f>B103*B104</f>
        <v>47226.167808219179</v>
      </c>
      <c r="C105" s="67">
        <f>C103*C104</f>
        <v>22302.5</v>
      </c>
      <c r="D105" s="67">
        <f>D103*D104</f>
        <v>20474.584474885844</v>
      </c>
    </row>
    <row r="106" spans="1:4" s="2" customFormat="1">
      <c r="A106" s="317" t="s">
        <v>266</v>
      </c>
      <c r="B106" s="317"/>
      <c r="C106" s="317"/>
      <c r="D106" s="69">
        <f>SUM(B105:D105)</f>
        <v>90003.252283105016</v>
      </c>
    </row>
    <row r="107" spans="1:4" s="2" customFormat="1">
      <c r="A107" s="317" t="s">
        <v>267</v>
      </c>
      <c r="B107" s="317"/>
      <c r="C107" s="317"/>
      <c r="D107" s="69">
        <v>91307.5</v>
      </c>
    </row>
    <row r="108" spans="1:4" s="2" customFormat="1">
      <c r="A108" s="298" t="s">
        <v>276</v>
      </c>
      <c r="B108" s="299"/>
      <c r="C108" s="300"/>
      <c r="D108" s="73">
        <v>7.4999999999999997E-2</v>
      </c>
    </row>
    <row r="109" spans="1:4" s="2" customFormat="1">
      <c r="A109" s="298" t="s">
        <v>277</v>
      </c>
      <c r="B109" s="299"/>
      <c r="C109" s="300"/>
      <c r="D109" s="69">
        <f>D107*D108</f>
        <v>6848.0625</v>
      </c>
    </row>
    <row r="110" spans="1:4" s="2" customFormat="1">
      <c r="A110" s="298" t="s">
        <v>278</v>
      </c>
      <c r="B110" s="299"/>
      <c r="C110" s="300"/>
      <c r="D110" s="69">
        <f>D107-D109</f>
        <v>84459.4375</v>
      </c>
    </row>
    <row r="111" spans="1:4" s="2" customFormat="1">
      <c r="A111" s="298" t="s">
        <v>279</v>
      </c>
      <c r="B111" s="299"/>
      <c r="C111" s="300"/>
      <c r="D111" s="70">
        <v>1.02</v>
      </c>
    </row>
    <row r="112" spans="1:4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</sheetData>
  <mergeCells count="38">
    <mergeCell ref="A16:B16"/>
    <mergeCell ref="A17:B17"/>
    <mergeCell ref="A18:C18"/>
    <mergeCell ref="A19:C19"/>
    <mergeCell ref="A108:C108"/>
    <mergeCell ref="A106:C106"/>
    <mergeCell ref="A107:C107"/>
    <mergeCell ref="A109:C109"/>
    <mergeCell ref="A110:C110"/>
    <mergeCell ref="A111:C111"/>
    <mergeCell ref="A20:C20"/>
    <mergeCell ref="A21:C21"/>
    <mergeCell ref="C27:D27"/>
    <mergeCell ref="A29:D29"/>
    <mergeCell ref="A69:D69"/>
    <mergeCell ref="A70:D70"/>
    <mergeCell ref="A42:B42"/>
    <mergeCell ref="A43:B43"/>
    <mergeCell ref="A44:D44"/>
    <mergeCell ref="A47:D47"/>
    <mergeCell ref="A51:E51"/>
    <mergeCell ref="A87:D87"/>
    <mergeCell ref="A88:D88"/>
    <mergeCell ref="A14:B14"/>
    <mergeCell ref="A15:B15"/>
    <mergeCell ref="A13:B13"/>
    <mergeCell ref="C13:D13"/>
    <mergeCell ref="A1:B1"/>
    <mergeCell ref="C1:D1"/>
    <mergeCell ref="A2:B3"/>
    <mergeCell ref="A5:D5"/>
    <mergeCell ref="A6:D6"/>
    <mergeCell ref="A7:D7"/>
    <mergeCell ref="A8:D8"/>
    <mergeCell ref="A9:D9"/>
    <mergeCell ref="A10:D10"/>
    <mergeCell ref="A11:B11"/>
    <mergeCell ref="A12:B12"/>
  </mergeCell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G6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79"/>
  <sheetViews>
    <sheetView topLeftCell="A16" workbookViewId="0">
      <selection activeCell="C10" sqref="C10"/>
    </sheetView>
  </sheetViews>
  <sheetFormatPr defaultRowHeight="15"/>
  <cols>
    <col min="1" max="1" width="43.42578125" customWidth="1"/>
    <col min="2" max="2" width="42.7109375" style="60" customWidth="1"/>
    <col min="3" max="55" width="9.140625" style="2"/>
  </cols>
  <sheetData>
    <row r="1" spans="1:2" ht="95.25" customHeight="1">
      <c r="A1" s="42"/>
      <c r="B1" s="78" t="s">
        <v>163</v>
      </c>
    </row>
    <row r="2" spans="1:2">
      <c r="A2" s="43"/>
      <c r="B2" s="52"/>
    </row>
    <row r="3" spans="1:2">
      <c r="A3" s="44" t="s">
        <v>101</v>
      </c>
      <c r="B3" s="53"/>
    </row>
    <row r="4" spans="1:2">
      <c r="A4" s="45" t="s">
        <v>102</v>
      </c>
      <c r="B4" s="54">
        <f>SUM(B5:B12)</f>
        <v>0.35300000000000004</v>
      </c>
    </row>
    <row r="5" spans="1:2">
      <c r="A5" s="84" t="s">
        <v>339</v>
      </c>
      <c r="B5" s="263">
        <v>0.2</v>
      </c>
    </row>
    <row r="6" spans="1:2">
      <c r="A6" s="84" t="s">
        <v>103</v>
      </c>
      <c r="B6" s="264">
        <v>0.03</v>
      </c>
    </row>
    <row r="7" spans="1:2">
      <c r="A7" s="84" t="s">
        <v>104</v>
      </c>
      <c r="B7" s="263">
        <v>2.5000000000000001E-2</v>
      </c>
    </row>
    <row r="8" spans="1:2">
      <c r="A8" s="84" t="s">
        <v>105</v>
      </c>
      <c r="B8" s="263">
        <v>2E-3</v>
      </c>
    </row>
    <row r="9" spans="1:2">
      <c r="A9" s="84" t="s">
        <v>106</v>
      </c>
      <c r="B9" s="263">
        <v>0.01</v>
      </c>
    </row>
    <row r="10" spans="1:2">
      <c r="A10" s="84" t="s">
        <v>107</v>
      </c>
      <c r="B10" s="263">
        <v>0</v>
      </c>
    </row>
    <row r="11" spans="1:2">
      <c r="A11" s="84" t="s">
        <v>108</v>
      </c>
      <c r="B11" s="263">
        <v>6.0000000000000001E-3</v>
      </c>
    </row>
    <row r="12" spans="1:2">
      <c r="A12" s="84" t="s">
        <v>109</v>
      </c>
      <c r="B12" s="264">
        <v>0.08</v>
      </c>
    </row>
    <row r="13" spans="1:2">
      <c r="A13" s="45" t="s">
        <v>110</v>
      </c>
      <c r="B13" s="54">
        <f>SUM(B14:B20)</f>
        <v>0.1353</v>
      </c>
    </row>
    <row r="14" spans="1:2">
      <c r="A14" s="47" t="s">
        <v>111</v>
      </c>
      <c r="B14" s="55">
        <v>2.7799999999999998E-2</v>
      </c>
    </row>
    <row r="15" spans="1:2">
      <c r="A15" s="47" t="s">
        <v>112</v>
      </c>
      <c r="B15" s="56">
        <v>1.1000000000000001E-3</v>
      </c>
    </row>
    <row r="16" spans="1:2">
      <c r="A16" s="47" t="s">
        <v>113</v>
      </c>
      <c r="B16" s="55">
        <v>4.0000000000000002E-4</v>
      </c>
    </row>
    <row r="17" spans="1:3">
      <c r="A17" s="47" t="s">
        <v>114</v>
      </c>
      <c r="B17" s="55">
        <v>1E-4</v>
      </c>
    </row>
    <row r="18" spans="1:3">
      <c r="A18" s="47" t="s">
        <v>115</v>
      </c>
      <c r="B18" s="56">
        <v>2.0000000000000001E-4</v>
      </c>
    </row>
    <row r="19" spans="1:3">
      <c r="A19" s="47" t="s">
        <v>116</v>
      </c>
      <c r="B19" s="56">
        <v>8.3299999999999999E-2</v>
      </c>
    </row>
    <row r="20" spans="1:3">
      <c r="A20" s="47" t="s">
        <v>117</v>
      </c>
      <c r="B20" s="56">
        <v>2.24E-2</v>
      </c>
    </row>
    <row r="21" spans="1:3">
      <c r="A21" s="46" t="s">
        <v>118</v>
      </c>
      <c r="B21" s="54">
        <f>SUM(B22:B24)</f>
        <v>7.5600000000000001E-2</v>
      </c>
    </row>
    <row r="22" spans="1:3">
      <c r="A22" s="48" t="s">
        <v>119</v>
      </c>
      <c r="B22" s="57">
        <v>3.6299999999999999E-2</v>
      </c>
    </row>
    <row r="23" spans="1:3">
      <c r="A23" s="48" t="s">
        <v>120</v>
      </c>
      <c r="B23" s="57">
        <v>3.5999999999999997E-2</v>
      </c>
    </row>
    <row r="24" spans="1:3">
      <c r="A24" s="48" t="s">
        <v>121</v>
      </c>
      <c r="B24" s="57">
        <v>3.3E-3</v>
      </c>
    </row>
    <row r="25" spans="1:3">
      <c r="A25" s="49" t="s">
        <v>122</v>
      </c>
      <c r="B25" s="54">
        <f>SUM(B27)</f>
        <v>4.7760900000000009E-2</v>
      </c>
    </row>
    <row r="26" spans="1:3">
      <c r="A26" s="50" t="s">
        <v>123</v>
      </c>
      <c r="B26" s="58"/>
    </row>
    <row r="27" spans="1:3">
      <c r="A27" s="51" t="s">
        <v>124</v>
      </c>
      <c r="B27" s="56">
        <f>B4*B13</f>
        <v>4.7760900000000009E-2</v>
      </c>
    </row>
    <row r="28" spans="1:3">
      <c r="A28" s="46" t="s">
        <v>125</v>
      </c>
      <c r="B28" s="54">
        <f>B25+B21+B13+B4</f>
        <v>0.61166090000000006</v>
      </c>
      <c r="C28" s="85"/>
    </row>
    <row r="29" spans="1:3">
      <c r="A29" s="2"/>
      <c r="B29" s="59"/>
      <c r="C29" s="85"/>
    </row>
    <row r="30" spans="1:3">
      <c r="A30" s="2"/>
      <c r="B30" s="90"/>
    </row>
    <row r="31" spans="1:3">
      <c r="A31" s="2"/>
      <c r="B31" s="59"/>
    </row>
    <row r="32" spans="1:3">
      <c r="A32" s="2"/>
      <c r="B32" s="59"/>
    </row>
    <row r="33" spans="1:2">
      <c r="A33" s="2"/>
      <c r="B33" s="59"/>
    </row>
    <row r="34" spans="1:2">
      <c r="A34" s="2"/>
      <c r="B34" s="59"/>
    </row>
    <row r="35" spans="1:2">
      <c r="A35" s="2"/>
      <c r="B35" s="59"/>
    </row>
    <row r="36" spans="1:2">
      <c r="A36" s="2"/>
      <c r="B36" s="59"/>
    </row>
    <row r="37" spans="1:2">
      <c r="A37" s="2"/>
      <c r="B37" s="59"/>
    </row>
    <row r="38" spans="1:2">
      <c r="A38" s="2"/>
      <c r="B38" s="59"/>
    </row>
    <row r="39" spans="1:2">
      <c r="A39" s="2"/>
      <c r="B39" s="59"/>
    </row>
    <row r="40" spans="1:2">
      <c r="A40" s="2"/>
      <c r="B40" s="59"/>
    </row>
    <row r="41" spans="1:2">
      <c r="A41" s="2"/>
      <c r="B41" s="59"/>
    </row>
    <row r="42" spans="1:2">
      <c r="A42" s="2"/>
      <c r="B42" s="59"/>
    </row>
    <row r="43" spans="1:2">
      <c r="A43" s="2"/>
      <c r="B43" s="59"/>
    </row>
    <row r="44" spans="1:2">
      <c r="A44" s="2"/>
      <c r="B44" s="59"/>
    </row>
    <row r="45" spans="1:2">
      <c r="A45" s="2"/>
      <c r="B45" s="59"/>
    </row>
    <row r="46" spans="1:2">
      <c r="A46" s="2"/>
      <c r="B46" s="59"/>
    </row>
    <row r="47" spans="1:2">
      <c r="A47" s="2"/>
      <c r="B47" s="59"/>
    </row>
    <row r="48" spans="1:2">
      <c r="A48" s="2"/>
      <c r="B48" s="59"/>
    </row>
    <row r="49" spans="1:2">
      <c r="A49" s="2"/>
      <c r="B49" s="59"/>
    </row>
    <row r="50" spans="1:2">
      <c r="A50" s="2"/>
      <c r="B50" s="59"/>
    </row>
    <row r="51" spans="1:2">
      <c r="A51" s="2"/>
      <c r="B51" s="59"/>
    </row>
    <row r="52" spans="1:2">
      <c r="A52" s="2"/>
      <c r="B52" s="59"/>
    </row>
    <row r="53" spans="1:2">
      <c r="A53" s="2"/>
      <c r="B53" s="59"/>
    </row>
    <row r="54" spans="1:2">
      <c r="A54" s="2"/>
      <c r="B54" s="59"/>
    </row>
    <row r="55" spans="1:2">
      <c r="A55" s="2"/>
      <c r="B55" s="59"/>
    </row>
    <row r="56" spans="1:2">
      <c r="A56" s="2"/>
      <c r="B56" s="59"/>
    </row>
    <row r="57" spans="1:2">
      <c r="A57" s="2"/>
      <c r="B57" s="59"/>
    </row>
    <row r="58" spans="1:2">
      <c r="A58" s="2"/>
      <c r="B58" s="59"/>
    </row>
    <row r="59" spans="1:2">
      <c r="A59" s="2"/>
      <c r="B59" s="59"/>
    </row>
    <row r="60" spans="1:2">
      <c r="A60" s="2"/>
      <c r="B60" s="59"/>
    </row>
    <row r="61" spans="1:2">
      <c r="A61" s="2"/>
      <c r="B61" s="59"/>
    </row>
    <row r="62" spans="1:2">
      <c r="A62" s="2"/>
      <c r="B62" s="59"/>
    </row>
    <row r="63" spans="1:2">
      <c r="A63" s="2"/>
      <c r="B63" s="59"/>
    </row>
    <row r="64" spans="1:2">
      <c r="A64" s="2"/>
      <c r="B64" s="59"/>
    </row>
    <row r="65" spans="1:2">
      <c r="A65" s="2"/>
      <c r="B65" s="59"/>
    </row>
    <row r="66" spans="1:2">
      <c r="A66" s="2"/>
      <c r="B66" s="59"/>
    </row>
    <row r="67" spans="1:2">
      <c r="A67" s="2"/>
      <c r="B67" s="59"/>
    </row>
    <row r="68" spans="1:2">
      <c r="A68" s="2"/>
      <c r="B68" s="59"/>
    </row>
    <row r="69" spans="1:2">
      <c r="A69" s="2"/>
      <c r="B69" s="59"/>
    </row>
    <row r="70" spans="1:2">
      <c r="A70" s="2"/>
      <c r="B70" s="59"/>
    </row>
    <row r="71" spans="1:2">
      <c r="A71" s="2"/>
      <c r="B71" s="59"/>
    </row>
    <row r="72" spans="1:2">
      <c r="A72" s="2"/>
      <c r="B72" s="59"/>
    </row>
    <row r="73" spans="1:2">
      <c r="A73" s="2"/>
      <c r="B73" s="59"/>
    </row>
    <row r="74" spans="1:2">
      <c r="A74" s="2"/>
      <c r="B74" s="59"/>
    </row>
    <row r="75" spans="1:2">
      <c r="A75" s="2"/>
      <c r="B75" s="59"/>
    </row>
    <row r="76" spans="1:2">
      <c r="A76" s="2"/>
      <c r="B76" s="59"/>
    </row>
    <row r="77" spans="1:2">
      <c r="A77" s="2"/>
      <c r="B77" s="59"/>
    </row>
    <row r="78" spans="1:2">
      <c r="A78" s="2"/>
      <c r="B78" s="59"/>
    </row>
    <row r="79" spans="1:2">
      <c r="A79" s="2"/>
      <c r="B79" s="59"/>
    </row>
    <row r="80" spans="1:2">
      <c r="A80" s="2"/>
      <c r="B80" s="59"/>
    </row>
    <row r="81" spans="1:2">
      <c r="A81" s="2"/>
      <c r="B81" s="59"/>
    </row>
    <row r="82" spans="1:2">
      <c r="A82" s="2"/>
      <c r="B82" s="59"/>
    </row>
    <row r="83" spans="1:2">
      <c r="A83" s="2"/>
      <c r="B83" s="59"/>
    </row>
    <row r="84" spans="1:2">
      <c r="A84" s="2"/>
      <c r="B84" s="59"/>
    </row>
    <row r="85" spans="1:2">
      <c r="A85" s="2"/>
      <c r="B85" s="59"/>
    </row>
    <row r="86" spans="1:2">
      <c r="A86" s="2"/>
      <c r="B86" s="59"/>
    </row>
    <row r="87" spans="1:2">
      <c r="A87" s="2"/>
      <c r="B87" s="59"/>
    </row>
    <row r="88" spans="1:2">
      <c r="A88" s="2"/>
      <c r="B88" s="59"/>
    </row>
    <row r="89" spans="1:2">
      <c r="A89" s="2"/>
      <c r="B89" s="59"/>
    </row>
    <row r="90" spans="1:2">
      <c r="A90" s="2"/>
      <c r="B90" s="59"/>
    </row>
    <row r="91" spans="1:2">
      <c r="A91" s="2"/>
      <c r="B91" s="59"/>
    </row>
    <row r="92" spans="1:2">
      <c r="A92" s="2"/>
      <c r="B92" s="59"/>
    </row>
    <row r="93" spans="1:2">
      <c r="A93" s="2"/>
      <c r="B93" s="59"/>
    </row>
    <row r="94" spans="1:2">
      <c r="A94" s="2"/>
      <c r="B94" s="59"/>
    </row>
    <row r="95" spans="1:2">
      <c r="A95" s="2"/>
      <c r="B95" s="59"/>
    </row>
    <row r="96" spans="1:2">
      <c r="A96" s="2"/>
      <c r="B96" s="59"/>
    </row>
    <row r="97" spans="1:2">
      <c r="A97" s="2"/>
      <c r="B97" s="59"/>
    </row>
    <row r="98" spans="1:2">
      <c r="A98" s="2"/>
      <c r="B98" s="59"/>
    </row>
    <row r="99" spans="1:2">
      <c r="A99" s="2"/>
      <c r="B99" s="59"/>
    </row>
    <row r="100" spans="1:2">
      <c r="A100" s="2"/>
      <c r="B100" s="59"/>
    </row>
    <row r="101" spans="1:2">
      <c r="A101" s="2"/>
      <c r="B101" s="59"/>
    </row>
    <row r="102" spans="1:2">
      <c r="A102" s="2"/>
      <c r="B102" s="59"/>
    </row>
    <row r="103" spans="1:2">
      <c r="A103" s="2"/>
      <c r="B103" s="59"/>
    </row>
    <row r="104" spans="1:2">
      <c r="A104" s="2"/>
      <c r="B104" s="59"/>
    </row>
    <row r="105" spans="1:2">
      <c r="A105" s="2"/>
      <c r="B105" s="59"/>
    </row>
    <row r="106" spans="1:2">
      <c r="A106" s="2"/>
      <c r="B106" s="59"/>
    </row>
    <row r="107" spans="1:2">
      <c r="A107" s="2"/>
      <c r="B107" s="59"/>
    </row>
    <row r="108" spans="1:2">
      <c r="A108" s="2"/>
      <c r="B108" s="59"/>
    </row>
    <row r="109" spans="1:2">
      <c r="A109" s="2"/>
      <c r="B109" s="59"/>
    </row>
    <row r="110" spans="1:2">
      <c r="A110" s="2"/>
      <c r="B110" s="59"/>
    </row>
    <row r="111" spans="1:2">
      <c r="A111" s="2"/>
      <c r="B111" s="59"/>
    </row>
    <row r="112" spans="1:2">
      <c r="A112" s="2"/>
      <c r="B112" s="59"/>
    </row>
    <row r="113" spans="1:2">
      <c r="A113" s="2"/>
      <c r="B113" s="59"/>
    </row>
    <row r="114" spans="1:2">
      <c r="A114" s="2"/>
      <c r="B114" s="59"/>
    </row>
    <row r="115" spans="1:2">
      <c r="A115" s="2"/>
      <c r="B115" s="59"/>
    </row>
    <row r="116" spans="1:2">
      <c r="A116" s="2"/>
      <c r="B116" s="59"/>
    </row>
    <row r="117" spans="1:2">
      <c r="A117" s="2"/>
      <c r="B117" s="59"/>
    </row>
    <row r="118" spans="1:2">
      <c r="A118" s="2"/>
      <c r="B118" s="59"/>
    </row>
    <row r="119" spans="1:2">
      <c r="A119" s="2"/>
      <c r="B119" s="59"/>
    </row>
    <row r="120" spans="1:2">
      <c r="A120" s="2"/>
      <c r="B120" s="59"/>
    </row>
    <row r="121" spans="1:2">
      <c r="A121" s="2"/>
      <c r="B121" s="59"/>
    </row>
    <row r="122" spans="1:2">
      <c r="A122" s="2"/>
      <c r="B122" s="59"/>
    </row>
    <row r="123" spans="1:2">
      <c r="A123" s="2"/>
      <c r="B123" s="59"/>
    </row>
    <row r="124" spans="1:2">
      <c r="A124" s="2"/>
      <c r="B124" s="59"/>
    </row>
    <row r="125" spans="1:2">
      <c r="A125" s="2"/>
      <c r="B125" s="59"/>
    </row>
    <row r="126" spans="1:2">
      <c r="A126" s="2"/>
      <c r="B126" s="59"/>
    </row>
    <row r="127" spans="1:2">
      <c r="A127" s="2"/>
      <c r="B127" s="59"/>
    </row>
    <row r="128" spans="1:2">
      <c r="A128" s="2"/>
      <c r="B128" s="59"/>
    </row>
    <row r="129" spans="1:2">
      <c r="A129" s="2"/>
      <c r="B129" s="59"/>
    </row>
    <row r="130" spans="1:2">
      <c r="A130" s="2"/>
      <c r="B130" s="59"/>
    </row>
    <row r="131" spans="1:2">
      <c r="A131" s="2"/>
      <c r="B131" s="59"/>
    </row>
    <row r="132" spans="1:2">
      <c r="A132" s="2"/>
      <c r="B132" s="59"/>
    </row>
    <row r="133" spans="1:2">
      <c r="A133" s="2"/>
      <c r="B133" s="59"/>
    </row>
    <row r="134" spans="1:2">
      <c r="A134" s="2"/>
      <c r="B134" s="59"/>
    </row>
    <row r="135" spans="1:2">
      <c r="A135" s="2"/>
      <c r="B135" s="59"/>
    </row>
    <row r="136" spans="1:2">
      <c r="A136" s="2"/>
      <c r="B136" s="59"/>
    </row>
    <row r="137" spans="1:2">
      <c r="A137" s="2"/>
      <c r="B137" s="59"/>
    </row>
    <row r="138" spans="1:2">
      <c r="A138" s="2"/>
      <c r="B138" s="59"/>
    </row>
    <row r="139" spans="1:2">
      <c r="A139" s="2"/>
      <c r="B139" s="59"/>
    </row>
    <row r="140" spans="1:2">
      <c r="A140" s="2"/>
      <c r="B140" s="59"/>
    </row>
    <row r="141" spans="1:2">
      <c r="A141" s="2"/>
      <c r="B141" s="59"/>
    </row>
    <row r="142" spans="1:2">
      <c r="A142" s="2"/>
      <c r="B142" s="59"/>
    </row>
    <row r="143" spans="1:2">
      <c r="A143" s="2"/>
      <c r="B143" s="59"/>
    </row>
    <row r="144" spans="1:2">
      <c r="A144" s="2"/>
      <c r="B144" s="59"/>
    </row>
    <row r="145" spans="1:2">
      <c r="A145" s="2"/>
      <c r="B145" s="59"/>
    </row>
    <row r="146" spans="1:2">
      <c r="A146" s="2"/>
      <c r="B146" s="59"/>
    </row>
    <row r="147" spans="1:2">
      <c r="A147" s="2"/>
      <c r="B147" s="59"/>
    </row>
    <row r="148" spans="1:2">
      <c r="A148" s="2"/>
      <c r="B148" s="59"/>
    </row>
    <row r="149" spans="1:2">
      <c r="A149" s="2"/>
      <c r="B149" s="59"/>
    </row>
    <row r="150" spans="1:2">
      <c r="A150" s="2"/>
      <c r="B150" s="59"/>
    </row>
    <row r="151" spans="1:2">
      <c r="A151" s="2"/>
      <c r="B151" s="59"/>
    </row>
    <row r="152" spans="1:2">
      <c r="A152" s="2"/>
      <c r="B152" s="59"/>
    </row>
    <row r="153" spans="1:2">
      <c r="A153" s="2"/>
      <c r="B153" s="59"/>
    </row>
    <row r="154" spans="1:2">
      <c r="A154" s="2"/>
      <c r="B154" s="59"/>
    </row>
    <row r="155" spans="1:2">
      <c r="A155" s="2"/>
      <c r="B155" s="59"/>
    </row>
    <row r="156" spans="1:2">
      <c r="A156" s="2"/>
      <c r="B156" s="59"/>
    </row>
    <row r="157" spans="1:2">
      <c r="A157" s="2"/>
      <c r="B157" s="59"/>
    </row>
    <row r="158" spans="1:2">
      <c r="A158" s="2"/>
      <c r="B158" s="59"/>
    </row>
    <row r="159" spans="1:2">
      <c r="A159" s="2"/>
      <c r="B159" s="59"/>
    </row>
    <row r="160" spans="1:2">
      <c r="A160" s="2"/>
      <c r="B160" s="59"/>
    </row>
    <row r="161" spans="1:2">
      <c r="A161" s="2"/>
      <c r="B161" s="59"/>
    </row>
    <row r="162" spans="1:2">
      <c r="A162" s="2"/>
      <c r="B162" s="59"/>
    </row>
    <row r="163" spans="1:2">
      <c r="A163" s="2"/>
      <c r="B163" s="59"/>
    </row>
    <row r="164" spans="1:2">
      <c r="A164" s="2"/>
      <c r="B164" s="59"/>
    </row>
    <row r="165" spans="1:2">
      <c r="A165" s="2"/>
      <c r="B165" s="59"/>
    </row>
    <row r="166" spans="1:2">
      <c r="A166" s="2"/>
      <c r="B166" s="59"/>
    </row>
    <row r="167" spans="1:2">
      <c r="A167" s="2"/>
      <c r="B167" s="59"/>
    </row>
    <row r="168" spans="1:2">
      <c r="A168" s="2"/>
      <c r="B168" s="59"/>
    </row>
    <row r="169" spans="1:2">
      <c r="A169" s="2"/>
      <c r="B169" s="59"/>
    </row>
    <row r="170" spans="1:2">
      <c r="A170" s="2"/>
      <c r="B170" s="59"/>
    </row>
    <row r="171" spans="1:2">
      <c r="A171" s="2"/>
      <c r="B171" s="59"/>
    </row>
    <row r="172" spans="1:2">
      <c r="A172" s="2"/>
      <c r="B172" s="59"/>
    </row>
    <row r="173" spans="1:2">
      <c r="A173" s="2"/>
      <c r="B173" s="59"/>
    </row>
    <row r="174" spans="1:2">
      <c r="A174" s="2"/>
      <c r="B174" s="59"/>
    </row>
    <row r="175" spans="1:2">
      <c r="A175" s="2"/>
      <c r="B175" s="59"/>
    </row>
    <row r="176" spans="1:2">
      <c r="A176" s="2"/>
      <c r="B176" s="59"/>
    </row>
    <row r="177" spans="1:2">
      <c r="A177" s="2"/>
      <c r="B177" s="59"/>
    </row>
    <row r="178" spans="1:2">
      <c r="A178" s="2"/>
      <c r="B178" s="59"/>
    </row>
    <row r="179" spans="1:2">
      <c r="A179" s="2"/>
      <c r="B179" s="59"/>
    </row>
    <row r="180" spans="1:2">
      <c r="A180" s="2"/>
      <c r="B180" s="59"/>
    </row>
    <row r="181" spans="1:2">
      <c r="A181" s="2"/>
      <c r="B181" s="59"/>
    </row>
    <row r="182" spans="1:2">
      <c r="A182" s="2"/>
      <c r="B182" s="59"/>
    </row>
    <row r="183" spans="1:2">
      <c r="A183" s="2"/>
      <c r="B183" s="59"/>
    </row>
    <row r="184" spans="1:2">
      <c r="A184" s="2"/>
      <c r="B184" s="59"/>
    </row>
    <row r="185" spans="1:2">
      <c r="A185" s="2"/>
      <c r="B185" s="59"/>
    </row>
    <row r="186" spans="1:2">
      <c r="A186" s="2"/>
      <c r="B186" s="59"/>
    </row>
    <row r="187" spans="1:2">
      <c r="A187" s="2"/>
      <c r="B187" s="59"/>
    </row>
    <row r="188" spans="1:2">
      <c r="A188" s="2"/>
      <c r="B188" s="59"/>
    </row>
    <row r="189" spans="1:2">
      <c r="A189" s="2"/>
      <c r="B189" s="59"/>
    </row>
    <row r="190" spans="1:2">
      <c r="A190" s="2"/>
      <c r="B190" s="59"/>
    </row>
    <row r="191" spans="1:2">
      <c r="A191" s="2"/>
      <c r="B191" s="59"/>
    </row>
    <row r="192" spans="1:2">
      <c r="A192" s="2"/>
      <c r="B192" s="59"/>
    </row>
    <row r="193" spans="1:2">
      <c r="A193" s="2"/>
      <c r="B193" s="59"/>
    </row>
    <row r="194" spans="1:2">
      <c r="A194" s="2"/>
      <c r="B194" s="59"/>
    </row>
    <row r="195" spans="1:2">
      <c r="A195" s="2"/>
      <c r="B195" s="59"/>
    </row>
    <row r="196" spans="1:2">
      <c r="A196" s="2"/>
      <c r="B196" s="59"/>
    </row>
    <row r="197" spans="1:2">
      <c r="A197" s="2"/>
      <c r="B197" s="59"/>
    </row>
    <row r="198" spans="1:2">
      <c r="A198" s="2"/>
      <c r="B198" s="59"/>
    </row>
    <row r="199" spans="1:2">
      <c r="A199" s="2"/>
      <c r="B199" s="59"/>
    </row>
    <row r="200" spans="1:2">
      <c r="A200" s="2"/>
      <c r="B200" s="59"/>
    </row>
    <row r="201" spans="1:2">
      <c r="A201" s="2"/>
      <c r="B201" s="59"/>
    </row>
    <row r="202" spans="1:2">
      <c r="A202" s="2"/>
      <c r="B202" s="59"/>
    </row>
    <row r="203" spans="1:2">
      <c r="A203" s="2"/>
      <c r="B203" s="59"/>
    </row>
    <row r="204" spans="1:2">
      <c r="A204" s="2"/>
      <c r="B204" s="59"/>
    </row>
    <row r="205" spans="1:2">
      <c r="A205" s="2"/>
      <c r="B205" s="59"/>
    </row>
    <row r="206" spans="1:2">
      <c r="A206" s="2"/>
      <c r="B206" s="59"/>
    </row>
    <row r="207" spans="1:2">
      <c r="A207" s="2"/>
      <c r="B207" s="59"/>
    </row>
    <row r="208" spans="1:2">
      <c r="A208" s="2"/>
      <c r="B208" s="59"/>
    </row>
    <row r="209" spans="1:2">
      <c r="A209" s="2"/>
      <c r="B209" s="59"/>
    </row>
    <row r="210" spans="1:2">
      <c r="A210" s="2"/>
      <c r="B210" s="59"/>
    </row>
    <row r="211" spans="1:2">
      <c r="A211" s="2"/>
      <c r="B211" s="59"/>
    </row>
    <row r="212" spans="1:2">
      <c r="A212" s="2"/>
      <c r="B212" s="59"/>
    </row>
    <row r="213" spans="1:2">
      <c r="A213" s="2"/>
      <c r="B213" s="59"/>
    </row>
    <row r="214" spans="1:2">
      <c r="A214" s="2"/>
      <c r="B214" s="59"/>
    </row>
    <row r="215" spans="1:2">
      <c r="A215" s="2"/>
      <c r="B215" s="59"/>
    </row>
    <row r="216" spans="1:2">
      <c r="A216" s="2"/>
      <c r="B216" s="59"/>
    </row>
    <row r="217" spans="1:2">
      <c r="A217" s="2"/>
      <c r="B217" s="59"/>
    </row>
    <row r="218" spans="1:2">
      <c r="A218" s="2"/>
      <c r="B218" s="59"/>
    </row>
    <row r="219" spans="1:2">
      <c r="A219" s="2"/>
      <c r="B219" s="59"/>
    </row>
    <row r="220" spans="1:2">
      <c r="A220" s="2"/>
      <c r="B220" s="59"/>
    </row>
    <row r="221" spans="1:2">
      <c r="A221" s="2"/>
      <c r="B221" s="59"/>
    </row>
    <row r="222" spans="1:2">
      <c r="A222" s="2"/>
      <c r="B222" s="59"/>
    </row>
    <row r="223" spans="1:2">
      <c r="A223" s="2"/>
      <c r="B223" s="59"/>
    </row>
    <row r="224" spans="1:2">
      <c r="A224" s="2"/>
      <c r="B224" s="59"/>
    </row>
    <row r="225" spans="1:2">
      <c r="A225" s="2"/>
      <c r="B225" s="59"/>
    </row>
    <row r="226" spans="1:2">
      <c r="A226" s="2"/>
      <c r="B226" s="59"/>
    </row>
    <row r="227" spans="1:2">
      <c r="A227" s="2"/>
      <c r="B227" s="59"/>
    </row>
    <row r="228" spans="1:2">
      <c r="A228" s="2"/>
      <c r="B228" s="59"/>
    </row>
    <row r="229" spans="1:2">
      <c r="A229" s="2"/>
      <c r="B229" s="59"/>
    </row>
    <row r="230" spans="1:2">
      <c r="A230" s="2"/>
      <c r="B230" s="59"/>
    </row>
    <row r="231" spans="1:2">
      <c r="A231" s="2"/>
      <c r="B231" s="59"/>
    </row>
    <row r="232" spans="1:2">
      <c r="A232" s="2"/>
      <c r="B232" s="59"/>
    </row>
    <row r="233" spans="1:2">
      <c r="A233" s="2"/>
      <c r="B233" s="59"/>
    </row>
    <row r="234" spans="1:2">
      <c r="A234" s="2"/>
      <c r="B234" s="59"/>
    </row>
    <row r="235" spans="1:2">
      <c r="A235" s="2"/>
      <c r="B235" s="59"/>
    </row>
    <row r="236" spans="1:2">
      <c r="A236" s="2"/>
      <c r="B236" s="59"/>
    </row>
    <row r="237" spans="1:2">
      <c r="A237" s="2"/>
      <c r="B237" s="59"/>
    </row>
    <row r="238" spans="1:2">
      <c r="A238" s="2"/>
      <c r="B238" s="59"/>
    </row>
    <row r="239" spans="1:2">
      <c r="A239" s="2"/>
      <c r="B239" s="59"/>
    </row>
    <row r="240" spans="1:2">
      <c r="A240" s="2"/>
      <c r="B240" s="59"/>
    </row>
    <row r="241" spans="1:2">
      <c r="A241" s="2"/>
      <c r="B241" s="59"/>
    </row>
    <row r="242" spans="1:2">
      <c r="A242" s="2"/>
      <c r="B242" s="59"/>
    </row>
    <row r="243" spans="1:2">
      <c r="A243" s="2"/>
      <c r="B243" s="59"/>
    </row>
    <row r="244" spans="1:2">
      <c r="A244" s="2"/>
      <c r="B244" s="59"/>
    </row>
    <row r="245" spans="1:2">
      <c r="A245" s="2"/>
      <c r="B245" s="59"/>
    </row>
    <row r="246" spans="1:2">
      <c r="A246" s="2"/>
      <c r="B246" s="59"/>
    </row>
    <row r="247" spans="1:2">
      <c r="A247" s="2"/>
      <c r="B247" s="59"/>
    </row>
    <row r="248" spans="1:2">
      <c r="A248" s="2"/>
      <c r="B248" s="59"/>
    </row>
    <row r="249" spans="1:2">
      <c r="A249" s="2"/>
      <c r="B249" s="59"/>
    </row>
    <row r="250" spans="1:2">
      <c r="A250" s="2"/>
      <c r="B250" s="59"/>
    </row>
    <row r="251" spans="1:2">
      <c r="A251" s="2"/>
      <c r="B251" s="59"/>
    </row>
    <row r="252" spans="1:2">
      <c r="A252" s="2"/>
      <c r="B252" s="59"/>
    </row>
    <row r="253" spans="1:2">
      <c r="A253" s="2"/>
      <c r="B253" s="59"/>
    </row>
    <row r="254" spans="1:2">
      <c r="A254" s="2"/>
      <c r="B254" s="59"/>
    </row>
    <row r="255" spans="1:2">
      <c r="A255" s="2"/>
      <c r="B255" s="59"/>
    </row>
    <row r="256" spans="1:2">
      <c r="A256" s="2"/>
      <c r="B256" s="59"/>
    </row>
    <row r="257" spans="1:2">
      <c r="A257" s="2"/>
      <c r="B257" s="59"/>
    </row>
    <row r="258" spans="1:2">
      <c r="A258" s="2"/>
      <c r="B258" s="59"/>
    </row>
    <row r="259" spans="1:2">
      <c r="A259" s="2"/>
      <c r="B259" s="59"/>
    </row>
    <row r="260" spans="1:2">
      <c r="A260" s="2"/>
      <c r="B260" s="59"/>
    </row>
    <row r="261" spans="1:2">
      <c r="A261" s="2"/>
      <c r="B261" s="59"/>
    </row>
    <row r="262" spans="1:2">
      <c r="A262" s="2"/>
      <c r="B262" s="59"/>
    </row>
    <row r="263" spans="1:2">
      <c r="A263" s="2"/>
      <c r="B263" s="59"/>
    </row>
    <row r="264" spans="1:2">
      <c r="A264" s="2"/>
      <c r="B264" s="59"/>
    </row>
    <row r="265" spans="1:2">
      <c r="A265" s="2"/>
      <c r="B265" s="59"/>
    </row>
    <row r="266" spans="1:2">
      <c r="A266" s="2"/>
      <c r="B266" s="59"/>
    </row>
    <row r="267" spans="1:2">
      <c r="A267" s="2"/>
      <c r="B267" s="59"/>
    </row>
    <row r="268" spans="1:2">
      <c r="A268" s="2"/>
      <c r="B268" s="59"/>
    </row>
    <row r="269" spans="1:2">
      <c r="A269" s="2"/>
      <c r="B269" s="59"/>
    </row>
    <row r="270" spans="1:2">
      <c r="A270" s="2"/>
      <c r="B270" s="59"/>
    </row>
    <row r="271" spans="1:2">
      <c r="A271" s="2"/>
      <c r="B271" s="59"/>
    </row>
    <row r="272" spans="1:2">
      <c r="A272" s="2"/>
      <c r="B272" s="59"/>
    </row>
    <row r="273" spans="1:2">
      <c r="A273" s="2"/>
      <c r="B273" s="59"/>
    </row>
    <row r="274" spans="1:2">
      <c r="A274" s="2"/>
      <c r="B274" s="59"/>
    </row>
    <row r="275" spans="1:2">
      <c r="A275" s="2"/>
      <c r="B275" s="59"/>
    </row>
    <row r="276" spans="1:2">
      <c r="A276" s="2"/>
      <c r="B276" s="59"/>
    </row>
    <row r="277" spans="1:2">
      <c r="A277" s="2"/>
      <c r="B277" s="59"/>
    </row>
    <row r="278" spans="1:2">
      <c r="A278" s="2"/>
      <c r="B278" s="59"/>
    </row>
    <row r="279" spans="1:2">
      <c r="A279" s="2"/>
      <c r="B279" s="59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1521"/>
  <sheetViews>
    <sheetView topLeftCell="A64" workbookViewId="0">
      <selection activeCell="F30" sqref="F30"/>
    </sheetView>
  </sheetViews>
  <sheetFormatPr defaultRowHeight="15"/>
  <cols>
    <col min="1" max="1" width="39.42578125" bestFit="1" customWidth="1"/>
    <col min="2" max="2" width="18.140625" bestFit="1" customWidth="1"/>
    <col min="3" max="3" width="16.85546875" customWidth="1"/>
    <col min="4" max="4" width="17.42578125" customWidth="1"/>
    <col min="5" max="5" width="9.140625" style="2"/>
    <col min="6" max="6" width="18.7109375" style="2" bestFit="1" customWidth="1"/>
    <col min="7" max="7" width="18.7109375" style="2" customWidth="1"/>
    <col min="8" max="8" width="19.5703125" style="2" bestFit="1" customWidth="1"/>
    <col min="9" max="55" width="9.140625" style="2"/>
  </cols>
  <sheetData>
    <row r="1" spans="1:8" ht="93.75" customHeight="1">
      <c r="A1" s="342"/>
      <c r="B1" s="343"/>
      <c r="C1" s="278" t="s">
        <v>163</v>
      </c>
      <c r="D1" s="280"/>
    </row>
    <row r="2" spans="1:8">
      <c r="A2" s="335" t="s">
        <v>126</v>
      </c>
      <c r="B2" s="335"/>
      <c r="C2" s="335"/>
      <c r="D2" s="335"/>
    </row>
    <row r="3" spans="1:8">
      <c r="A3" s="133" t="s">
        <v>127</v>
      </c>
      <c r="B3" s="134" t="s">
        <v>74</v>
      </c>
      <c r="C3" s="134" t="s">
        <v>40</v>
      </c>
      <c r="D3" s="134" t="s">
        <v>41</v>
      </c>
    </row>
    <row r="4" spans="1:8">
      <c r="A4" s="135" t="s">
        <v>128</v>
      </c>
      <c r="B4" s="136" t="s">
        <v>129</v>
      </c>
      <c r="C4" s="137">
        <f>'Composiçaõ de dados básicos'!B37</f>
        <v>7784.4885384615382</v>
      </c>
      <c r="D4" s="137">
        <f>'Composiçaõ de dados básicos'!C37</f>
        <v>93413.862461538462</v>
      </c>
    </row>
    <row r="5" spans="1:8">
      <c r="A5" s="135" t="s">
        <v>130</v>
      </c>
      <c r="B5" s="136" t="s">
        <v>131</v>
      </c>
      <c r="C5" s="138">
        <f>'Coeficiêntes de Consumo'!A4</f>
        <v>0.23050000000000001</v>
      </c>
      <c r="D5" s="138">
        <f>'Coeficiêntes de Consumo'!A5</f>
        <v>0.33</v>
      </c>
    </row>
    <row r="6" spans="1:8">
      <c r="A6" s="135" t="s">
        <v>379</v>
      </c>
      <c r="B6" s="136" t="s">
        <v>131</v>
      </c>
      <c r="C6" s="344">
        <f>(C5*C4+D5*D4)/(C4+D4)</f>
        <v>0.32234615384615389</v>
      </c>
      <c r="D6" s="344"/>
    </row>
    <row r="7" spans="1:8">
      <c r="A7" s="326" t="s">
        <v>132</v>
      </c>
      <c r="B7" s="326"/>
      <c r="C7" s="326"/>
      <c r="D7" s="326"/>
    </row>
    <row r="8" spans="1:8">
      <c r="A8" s="324" t="s">
        <v>133</v>
      </c>
      <c r="B8" s="341"/>
      <c r="C8" s="325"/>
      <c r="D8" s="139" t="s">
        <v>380</v>
      </c>
    </row>
    <row r="9" spans="1:8">
      <c r="A9" s="324" t="s">
        <v>134</v>
      </c>
      <c r="B9" s="341"/>
      <c r="C9" s="325"/>
      <c r="D9" s="140">
        <f>(C4+D4)*C6</f>
        <v>32620.899220423082</v>
      </c>
      <c r="F9" s="59"/>
      <c r="G9" s="59"/>
      <c r="H9" s="59"/>
    </row>
    <row r="10" spans="1:8">
      <c r="A10" s="324" t="s">
        <v>135</v>
      </c>
      <c r="B10" s="341"/>
      <c r="C10" s="325"/>
      <c r="D10" s="141">
        <v>2.98</v>
      </c>
      <c r="F10" s="59"/>
      <c r="G10" s="59"/>
      <c r="H10" s="59"/>
    </row>
    <row r="11" spans="1:8">
      <c r="A11" s="319" t="s">
        <v>137</v>
      </c>
      <c r="B11" s="338"/>
      <c r="C11" s="320"/>
      <c r="D11" s="142">
        <f>D9*D10</f>
        <v>97210.27967686078</v>
      </c>
    </row>
    <row r="12" spans="1:8">
      <c r="A12" s="318"/>
      <c r="B12" s="318"/>
      <c r="C12" s="318"/>
      <c r="D12" s="318"/>
    </row>
    <row r="13" spans="1:8">
      <c r="A13" s="335" t="s">
        <v>138</v>
      </c>
      <c r="B13" s="335"/>
      <c r="C13" s="335"/>
      <c r="D13" s="335"/>
    </row>
    <row r="14" spans="1:8">
      <c r="A14" s="135" t="s">
        <v>127</v>
      </c>
      <c r="B14" s="143" t="s">
        <v>139</v>
      </c>
      <c r="C14" s="144" t="s">
        <v>161</v>
      </c>
      <c r="D14" s="144" t="s">
        <v>162</v>
      </c>
    </row>
    <row r="15" spans="1:8">
      <c r="A15" s="135" t="s">
        <v>271</v>
      </c>
      <c r="B15" s="265">
        <f>16/20000</f>
        <v>8.0000000000000004E-4</v>
      </c>
      <c r="C15" s="141">
        <v>10.25</v>
      </c>
      <c r="D15" s="145">
        <f t="shared" ref="D15:D19" si="0">C15*B15</f>
        <v>8.2000000000000007E-3</v>
      </c>
    </row>
    <row r="16" spans="1:8">
      <c r="A16" s="135" t="s">
        <v>272</v>
      </c>
      <c r="B16" s="265">
        <v>2.5000000000000001E-4</v>
      </c>
      <c r="C16" s="141">
        <v>14.5</v>
      </c>
      <c r="D16" s="145">
        <f t="shared" si="0"/>
        <v>3.6250000000000002E-3</v>
      </c>
    </row>
    <row r="17" spans="1:8">
      <c r="A17" s="135" t="s">
        <v>274</v>
      </c>
      <c r="B17" s="265">
        <v>2.0929999999999999E-4</v>
      </c>
      <c r="C17" s="141">
        <v>13.5</v>
      </c>
      <c r="D17" s="145">
        <f t="shared" si="0"/>
        <v>2.82555E-3</v>
      </c>
    </row>
    <row r="18" spans="1:8">
      <c r="A18" s="135" t="s">
        <v>273</v>
      </c>
      <c r="B18" s="265">
        <v>1.6799999999999998E-5</v>
      </c>
      <c r="C18" s="141">
        <v>23.95</v>
      </c>
      <c r="D18" s="145">
        <f t="shared" si="0"/>
        <v>4.0235999999999994E-4</v>
      </c>
    </row>
    <row r="19" spans="1:8">
      <c r="A19" s="146" t="s">
        <v>275</v>
      </c>
      <c r="B19" s="265">
        <v>1.2659999999999999E-4</v>
      </c>
      <c r="C19" s="141">
        <v>20.21</v>
      </c>
      <c r="D19" s="145">
        <f t="shared" si="0"/>
        <v>2.5585859999999998E-3</v>
      </c>
      <c r="F19" s="71"/>
      <c r="G19" s="71"/>
    </row>
    <row r="20" spans="1:8">
      <c r="A20" s="323" t="s">
        <v>140</v>
      </c>
      <c r="B20" s="323"/>
      <c r="C20" s="323"/>
      <c r="D20" s="147">
        <f>SUM(D15:D19)</f>
        <v>1.7611495999999997E-2</v>
      </c>
    </row>
    <row r="21" spans="1:8">
      <c r="A21" s="335" t="s">
        <v>141</v>
      </c>
      <c r="B21" s="335"/>
      <c r="C21" s="335"/>
      <c r="D21" s="335"/>
    </row>
    <row r="22" spans="1:8">
      <c r="A22" s="326" t="s">
        <v>127</v>
      </c>
      <c r="B22" s="326"/>
      <c r="C22" s="134" t="s">
        <v>40</v>
      </c>
      <c r="D22" s="134" t="s">
        <v>41</v>
      </c>
    </row>
    <row r="23" spans="1:8">
      <c r="A23" s="326" t="s">
        <v>142</v>
      </c>
      <c r="B23" s="326"/>
      <c r="C23" s="137">
        <f>'Composiçaõ de dados básicos'!B37</f>
        <v>7784.4885384615382</v>
      </c>
      <c r="D23" s="137">
        <f>'Composiçaõ de dados básicos'!C37</f>
        <v>93413.862461538462</v>
      </c>
    </row>
    <row r="24" spans="1:8">
      <c r="A24" s="326" t="s">
        <v>143</v>
      </c>
      <c r="B24" s="326"/>
      <c r="C24" s="148">
        <f>D20</f>
        <v>1.7611495999999997E-2</v>
      </c>
      <c r="D24" s="148">
        <f>D20</f>
        <v>1.7611495999999997E-2</v>
      </c>
    </row>
    <row r="25" spans="1:8">
      <c r="A25" s="326" t="s">
        <v>136</v>
      </c>
      <c r="B25" s="326"/>
      <c r="C25" s="149">
        <f>C24*C23</f>
        <v>137.09648875716121</v>
      </c>
      <c r="D25" s="149">
        <f>D24*D23</f>
        <v>1645.1578650859344</v>
      </c>
    </row>
    <row r="26" spans="1:8">
      <c r="A26" s="323" t="s">
        <v>286</v>
      </c>
      <c r="B26" s="323"/>
      <c r="C26" s="150"/>
      <c r="D26" s="151">
        <f>C25+D25</f>
        <v>1782.2543538430957</v>
      </c>
      <c r="F26" s="85"/>
      <c r="H26" s="86"/>
    </row>
    <row r="27" spans="1:8">
      <c r="A27" s="330"/>
      <c r="B27" s="330"/>
      <c r="C27" s="339"/>
      <c r="D27" s="340"/>
    </row>
    <row r="28" spans="1:8">
      <c r="A28" s="335" t="s">
        <v>144</v>
      </c>
      <c r="B28" s="335"/>
      <c r="C28" s="335"/>
      <c r="D28" s="335"/>
    </row>
    <row r="29" spans="1:8">
      <c r="A29" s="326" t="s">
        <v>127</v>
      </c>
      <c r="B29" s="326"/>
      <c r="C29" s="134" t="s">
        <v>40</v>
      </c>
      <c r="D29" s="134" t="s">
        <v>41</v>
      </c>
    </row>
    <row r="30" spans="1:8">
      <c r="A30" s="324" t="s">
        <v>347</v>
      </c>
      <c r="B30" s="325"/>
      <c r="C30" s="266">
        <v>65000</v>
      </c>
      <c r="D30" s="266">
        <v>65000</v>
      </c>
    </row>
    <row r="31" spans="1:8">
      <c r="A31" s="326" t="s">
        <v>341</v>
      </c>
      <c r="B31" s="326"/>
      <c r="C31" s="152">
        <v>12</v>
      </c>
      <c r="D31" s="152">
        <v>12</v>
      </c>
    </row>
    <row r="32" spans="1:8">
      <c r="A32" s="326" t="s">
        <v>312</v>
      </c>
      <c r="B32" s="326"/>
      <c r="C32" s="152">
        <v>6</v>
      </c>
      <c r="D32" s="152">
        <v>6</v>
      </c>
    </row>
    <row r="33" spans="1:9">
      <c r="A33" s="323" t="s">
        <v>146</v>
      </c>
      <c r="B33" s="323"/>
      <c r="C33" s="134" t="s">
        <v>40</v>
      </c>
      <c r="D33" s="134" t="s">
        <v>41</v>
      </c>
    </row>
    <row r="34" spans="1:9">
      <c r="A34" s="326" t="s">
        <v>145</v>
      </c>
      <c r="B34" s="326"/>
      <c r="C34" s="137">
        <f>C30</f>
        <v>65000</v>
      </c>
      <c r="D34" s="137">
        <f>D30</f>
        <v>65000</v>
      </c>
      <c r="F34" s="14"/>
      <c r="G34" s="14"/>
      <c r="H34" s="14"/>
      <c r="I34" s="14"/>
    </row>
    <row r="35" spans="1:9">
      <c r="A35" s="326" t="s">
        <v>342</v>
      </c>
      <c r="B35" s="326"/>
      <c r="C35" s="137">
        <f>C30</f>
        <v>65000</v>
      </c>
      <c r="D35" s="137">
        <f>D30</f>
        <v>65000</v>
      </c>
      <c r="F35" s="14"/>
      <c r="G35" s="14"/>
      <c r="H35" s="14"/>
      <c r="I35" s="14"/>
    </row>
    <row r="36" spans="1:9">
      <c r="A36" s="326" t="s">
        <v>42</v>
      </c>
      <c r="B36" s="326"/>
      <c r="C36" s="153">
        <f>'Composiçaõ de dados básicos'!C15</f>
        <v>990</v>
      </c>
      <c r="D36" s="153">
        <f>'Composiçaõ de dados básicos'!D15</f>
        <v>1750</v>
      </c>
      <c r="F36" s="87"/>
      <c r="G36" s="87"/>
      <c r="H36" s="87"/>
      <c r="I36" s="14"/>
    </row>
    <row r="37" spans="1:9">
      <c r="A37" s="324" t="s">
        <v>43</v>
      </c>
      <c r="B37" s="325"/>
      <c r="C37" s="153">
        <f>'Composiçaõ de dados básicos'!C16</f>
        <v>410</v>
      </c>
      <c r="D37" s="153">
        <f>'Composiçaõ de dados básicos'!D16</f>
        <v>550</v>
      </c>
      <c r="F37" s="87"/>
      <c r="G37" s="87"/>
      <c r="H37" s="87"/>
      <c r="I37" s="14"/>
    </row>
    <row r="38" spans="1:9">
      <c r="A38" s="154"/>
      <c r="B38" s="155"/>
      <c r="C38" s="153"/>
      <c r="D38" s="153"/>
      <c r="F38" s="87"/>
      <c r="G38" s="87"/>
      <c r="H38" s="87"/>
      <c r="I38" s="14"/>
    </row>
    <row r="39" spans="1:9">
      <c r="A39" s="324" t="s">
        <v>343</v>
      </c>
      <c r="B39" s="325"/>
      <c r="C39" s="156">
        <f>C34+C35+C35</f>
        <v>195000</v>
      </c>
      <c r="D39" s="156">
        <f>D34+D35+D35</f>
        <v>195000</v>
      </c>
      <c r="F39" s="87"/>
      <c r="G39" s="87"/>
      <c r="H39" s="87"/>
      <c r="I39" s="14"/>
    </row>
    <row r="40" spans="1:9">
      <c r="A40" s="154" t="s">
        <v>344</v>
      </c>
      <c r="B40" s="155"/>
      <c r="C40" s="157">
        <f>C36+C37*2</f>
        <v>1810</v>
      </c>
      <c r="D40" s="157">
        <f>D36+D37*2</f>
        <v>2850</v>
      </c>
      <c r="F40" s="87"/>
      <c r="G40" s="87"/>
      <c r="H40" s="87"/>
      <c r="I40" s="14"/>
    </row>
    <row r="41" spans="1:9">
      <c r="A41" s="154"/>
      <c r="B41" s="155"/>
      <c r="C41" s="153"/>
      <c r="D41" s="153"/>
      <c r="F41" s="87"/>
      <c r="G41" s="87"/>
      <c r="H41" s="87"/>
      <c r="I41" s="14"/>
    </row>
    <row r="42" spans="1:9">
      <c r="A42" s="154" t="s">
        <v>345</v>
      </c>
      <c r="B42" s="155"/>
      <c r="C42" s="157">
        <f>C40*6</f>
        <v>10860</v>
      </c>
      <c r="D42" s="157">
        <f>D40*6</f>
        <v>17100</v>
      </c>
      <c r="F42" s="87"/>
      <c r="G42" s="87"/>
      <c r="H42" s="87"/>
      <c r="I42" s="14"/>
    </row>
    <row r="43" spans="1:9">
      <c r="A43" s="324" t="s">
        <v>346</v>
      </c>
      <c r="B43" s="325"/>
      <c r="C43" s="153">
        <f>C42/C39</f>
        <v>5.5692307692307694E-2</v>
      </c>
      <c r="D43" s="153">
        <f>D42/D39</f>
        <v>8.7692307692307694E-2</v>
      </c>
      <c r="F43" s="87"/>
      <c r="G43" s="87"/>
      <c r="H43" s="87"/>
      <c r="I43" s="14"/>
    </row>
    <row r="44" spans="1:9">
      <c r="A44" s="154"/>
      <c r="B44" s="155"/>
      <c r="C44" s="153"/>
      <c r="D44" s="153"/>
      <c r="F44" s="87"/>
      <c r="G44" s="87"/>
      <c r="H44" s="87"/>
      <c r="I44" s="14"/>
    </row>
    <row r="45" spans="1:9">
      <c r="A45" s="326" t="s">
        <v>147</v>
      </c>
      <c r="B45" s="326"/>
      <c r="C45" s="137">
        <f>'Composiçaõ de dados básicos'!B37</f>
        <v>7784.4885384615382</v>
      </c>
      <c r="D45" s="137">
        <f>'Composiçaõ de dados básicos'!C37</f>
        <v>93413.862461538462</v>
      </c>
      <c r="F45" s="88"/>
      <c r="G45" s="88"/>
      <c r="H45" s="88"/>
      <c r="I45" s="14"/>
    </row>
    <row r="46" spans="1:9">
      <c r="A46" s="323" t="s">
        <v>148</v>
      </c>
      <c r="B46" s="323"/>
      <c r="C46" s="141">
        <f>C45*C43</f>
        <v>433.53613091124259</v>
      </c>
      <c r="D46" s="141">
        <f>D45*D43</f>
        <v>8191.6771697041422</v>
      </c>
      <c r="F46" s="89"/>
      <c r="G46" s="89"/>
      <c r="H46" s="89"/>
      <c r="I46" s="14"/>
    </row>
    <row r="47" spans="1:9">
      <c r="A47" s="319" t="s">
        <v>148</v>
      </c>
      <c r="B47" s="338"/>
      <c r="C47" s="320"/>
      <c r="D47" s="158">
        <f>D46+C46</f>
        <v>8625.2133006153854</v>
      </c>
      <c r="F47" s="89"/>
      <c r="G47" s="89"/>
      <c r="H47" s="89"/>
      <c r="I47" s="14"/>
    </row>
    <row r="48" spans="1:9">
      <c r="A48" s="318"/>
      <c r="B48" s="318"/>
      <c r="C48" s="318"/>
      <c r="D48" s="318"/>
      <c r="F48" s="14"/>
      <c r="G48" s="14"/>
      <c r="H48" s="14"/>
      <c r="I48" s="14"/>
    </row>
    <row r="49" spans="1:9">
      <c r="A49" s="335" t="s">
        <v>149</v>
      </c>
      <c r="B49" s="335"/>
      <c r="C49" s="159" t="s">
        <v>40</v>
      </c>
      <c r="D49" s="159" t="s">
        <v>41</v>
      </c>
      <c r="F49" s="14"/>
      <c r="G49" s="14"/>
      <c r="H49" s="14"/>
      <c r="I49" s="14"/>
    </row>
    <row r="50" spans="1:9">
      <c r="A50" s="326" t="s">
        <v>150</v>
      </c>
      <c r="B50" s="326"/>
      <c r="C50" s="141">
        <f>'Composiçaõ de dados básicos'!C17</f>
        <v>215000</v>
      </c>
      <c r="D50" s="141">
        <f>'Composiçaõ de dados básicos'!D17</f>
        <v>295222</v>
      </c>
      <c r="F50" s="14"/>
      <c r="G50" s="14"/>
      <c r="H50" s="14"/>
      <c r="I50" s="14"/>
    </row>
    <row r="51" spans="1:9">
      <c r="A51" s="326" t="s">
        <v>287</v>
      </c>
      <c r="B51" s="326"/>
      <c r="C51" s="336">
        <f>'Coeficiêntes de Consumo'!A7</f>
        <v>4.0000000000000001E-3</v>
      </c>
      <c r="D51" s="337"/>
      <c r="F51" s="14"/>
      <c r="G51" s="14"/>
      <c r="H51" s="14"/>
      <c r="I51" s="14"/>
    </row>
    <row r="52" spans="1:9">
      <c r="A52" s="324" t="s">
        <v>288</v>
      </c>
      <c r="B52" s="325"/>
      <c r="C52" s="333">
        <f>'Composiçaõ de dados básicos'!D3/('Composiçaõ de dados básicos'!D33-'Composiçaõ de dados básicos'!D32)</f>
        <v>5072.5990476190473</v>
      </c>
      <c r="D52" s="334"/>
    </row>
    <row r="53" spans="1:9">
      <c r="A53" s="324" t="s">
        <v>151</v>
      </c>
      <c r="B53" s="325"/>
      <c r="C53" s="160">
        <f>C51/C52</f>
        <v>7.8855039841508883E-7</v>
      </c>
      <c r="D53" s="160">
        <f>C51/C52</f>
        <v>7.8855039841508883E-7</v>
      </c>
      <c r="F53" s="71"/>
      <c r="G53" s="71"/>
    </row>
    <row r="54" spans="1:9">
      <c r="A54" s="324" t="s">
        <v>152</v>
      </c>
      <c r="B54" s="325"/>
      <c r="C54" s="142">
        <f>C53*C50</f>
        <v>0.16953833565924409</v>
      </c>
      <c r="D54" s="142">
        <f>D53*D50</f>
        <v>0.23279742572089934</v>
      </c>
      <c r="F54" s="71"/>
      <c r="G54" s="71"/>
    </row>
    <row r="55" spans="1:9">
      <c r="A55" s="326" t="s">
        <v>147</v>
      </c>
      <c r="B55" s="326"/>
      <c r="C55" s="137">
        <f>'Composiçaõ de dados básicos'!B37</f>
        <v>7784.4885384615382</v>
      </c>
      <c r="D55" s="137">
        <f>'Composiçaõ de dados básicos'!C37</f>
        <v>93413.862461538462</v>
      </c>
    </row>
    <row r="56" spans="1:9">
      <c r="A56" s="326" t="s">
        <v>153</v>
      </c>
      <c r="B56" s="326"/>
      <c r="C56" s="161">
        <f>C55*C54</f>
        <v>1319.7692307692307</v>
      </c>
      <c r="D56" s="161">
        <f>D55*D54</f>
        <v>21746.506707692308</v>
      </c>
    </row>
    <row r="57" spans="1:9">
      <c r="A57" s="323" t="s">
        <v>154</v>
      </c>
      <c r="B57" s="323"/>
      <c r="C57" s="162"/>
      <c r="D57" s="163">
        <f>C56+D56</f>
        <v>23066.275938461538</v>
      </c>
      <c r="F57" s="71"/>
      <c r="G57" s="71"/>
      <c r="H57" s="71"/>
    </row>
    <row r="58" spans="1:9">
      <c r="A58" s="330"/>
      <c r="B58" s="330"/>
      <c r="C58" s="330"/>
      <c r="D58" s="330"/>
      <c r="F58" s="71"/>
      <c r="G58" s="71"/>
      <c r="H58" s="71"/>
    </row>
    <row r="59" spans="1:9">
      <c r="A59" s="327" t="s">
        <v>155</v>
      </c>
      <c r="B59" s="327"/>
      <c r="C59" s="327"/>
      <c r="D59" s="327"/>
    </row>
    <row r="60" spans="1:9">
      <c r="A60" s="328"/>
      <c r="B60" s="329"/>
      <c r="C60" s="134" t="s">
        <v>40</v>
      </c>
      <c r="D60" s="134" t="s">
        <v>41</v>
      </c>
    </row>
    <row r="61" spans="1:9">
      <c r="A61" s="326" t="s">
        <v>126</v>
      </c>
      <c r="B61" s="326"/>
      <c r="C61" s="331">
        <f>D11</f>
        <v>97210.27967686078</v>
      </c>
      <c r="D61" s="332"/>
    </row>
    <row r="62" spans="1:9">
      <c r="A62" s="324" t="s">
        <v>138</v>
      </c>
      <c r="B62" s="325"/>
      <c r="C62" s="164">
        <f>C25</f>
        <v>137.09648875716121</v>
      </c>
      <c r="D62" s="164">
        <f>D25</f>
        <v>1645.1578650859344</v>
      </c>
    </row>
    <row r="63" spans="1:9">
      <c r="A63" s="324" t="s">
        <v>144</v>
      </c>
      <c r="B63" s="325"/>
      <c r="C63" s="164">
        <f>C46</f>
        <v>433.53613091124259</v>
      </c>
      <c r="D63" s="164">
        <f>D46</f>
        <v>8191.6771697041422</v>
      </c>
    </row>
    <row r="64" spans="1:9">
      <c r="A64" s="324" t="s">
        <v>149</v>
      </c>
      <c r="B64" s="325"/>
      <c r="C64" s="164">
        <f>C56</f>
        <v>1319.7692307692307</v>
      </c>
      <c r="D64" s="164">
        <f>D56</f>
        <v>21746.506707692308</v>
      </c>
    </row>
    <row r="65" spans="1:4">
      <c r="A65" s="318"/>
      <c r="B65" s="318"/>
      <c r="C65" s="318"/>
      <c r="D65" s="318"/>
    </row>
    <row r="66" spans="1:4">
      <c r="A66" s="319" t="s">
        <v>156</v>
      </c>
      <c r="B66" s="320"/>
      <c r="C66" s="161">
        <f>SUM(C61:C64)</f>
        <v>99100.681527298424</v>
      </c>
      <c r="D66" s="161">
        <f>SUM(D61:D64)</f>
        <v>31583.341742482386</v>
      </c>
    </row>
    <row r="67" spans="1:4">
      <c r="A67" s="321" t="s">
        <v>157</v>
      </c>
      <c r="B67" s="322"/>
      <c r="C67" s="165">
        <f>C66/C55</f>
        <v>12.730532139351554</v>
      </c>
      <c r="D67" s="166">
        <f>D66/D55</f>
        <v>0.33810122941320703</v>
      </c>
    </row>
    <row r="68" spans="1:4">
      <c r="A68" s="323" t="s">
        <v>158</v>
      </c>
      <c r="B68" s="323"/>
      <c r="C68" s="323"/>
      <c r="D68" s="167">
        <f>(C67*C66+D67*D66)/(C66+D66)</f>
        <v>9.7355648078002446</v>
      </c>
    </row>
    <row r="69" spans="1:4">
      <c r="A69" s="323" t="s">
        <v>159</v>
      </c>
      <c r="B69" s="323"/>
      <c r="C69" s="323"/>
      <c r="D69" s="163">
        <f>SUM(C61:C64) + SUM(D61:D64)</f>
        <v>130684.02326978081</v>
      </c>
    </row>
    <row r="70" spans="1:4">
      <c r="A70" s="323" t="s">
        <v>160</v>
      </c>
      <c r="B70" s="323"/>
      <c r="C70" s="323"/>
      <c r="D70" s="163">
        <f>D69*12</f>
        <v>1568208.2792373698</v>
      </c>
    </row>
    <row r="71" spans="1:4" s="2" customFormat="1"/>
    <row r="72" spans="1:4" s="2" customFormat="1"/>
    <row r="73" spans="1:4" s="2" customFormat="1"/>
    <row r="74" spans="1:4" s="2" customFormat="1"/>
    <row r="75" spans="1:4" s="2" customFormat="1"/>
    <row r="76" spans="1:4" s="2" customFormat="1"/>
    <row r="77" spans="1:4" s="2" customFormat="1"/>
    <row r="78" spans="1:4" s="2" customFormat="1"/>
    <row r="79" spans="1:4" s="2" customFormat="1"/>
    <row r="80" spans="1:4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  <row r="1292" s="2" customFormat="1"/>
    <row r="1293" s="2" customFormat="1"/>
    <row r="1294" s="2" customFormat="1"/>
    <row r="1295" s="2" customFormat="1"/>
    <row r="1296" s="2" customFormat="1"/>
    <row r="1297" s="2" customFormat="1"/>
    <row r="1298" s="2" customFormat="1"/>
    <row r="1299" s="2" customFormat="1"/>
    <row r="1300" s="2" customFormat="1"/>
    <row r="1301" s="2" customFormat="1"/>
    <row r="1302" s="2" customFormat="1"/>
    <row r="1303" s="2" customFormat="1"/>
    <row r="1304" s="2" customFormat="1"/>
    <row r="1305" s="2" customFormat="1"/>
    <row r="1306" s="2" customFormat="1"/>
    <row r="1307" s="2" customFormat="1"/>
    <row r="1308" s="2" customFormat="1"/>
    <row r="1309" s="2" customFormat="1"/>
    <row r="1310" s="2" customFormat="1"/>
    <row r="1311" s="2" customFormat="1"/>
    <row r="1312" s="2" customFormat="1"/>
    <row r="1313" s="2" customFormat="1"/>
    <row r="1314" s="2" customFormat="1"/>
    <row r="1315" s="2" customFormat="1"/>
    <row r="1316" s="2" customFormat="1"/>
    <row r="1317" s="2" customFormat="1"/>
    <row r="1318" s="2" customFormat="1"/>
    <row r="1319" s="2" customFormat="1"/>
    <row r="1320" s="2" customFormat="1"/>
    <row r="1321" s="2" customFormat="1"/>
    <row r="1322" s="2" customFormat="1"/>
    <row r="1323" s="2" customFormat="1"/>
    <row r="1324" s="2" customFormat="1"/>
    <row r="1325" s="2" customFormat="1"/>
    <row r="1326" s="2" customFormat="1"/>
    <row r="1327" s="2" customFormat="1"/>
    <row r="1328" s="2" customFormat="1"/>
    <row r="1329" s="2" customFormat="1"/>
    <row r="1330" s="2" customFormat="1"/>
    <row r="1331" s="2" customFormat="1"/>
    <row r="1332" s="2" customFormat="1"/>
    <row r="1333" s="2" customFormat="1"/>
    <row r="1334" s="2" customFormat="1"/>
    <row r="1335" s="2" customFormat="1"/>
    <row r="1336" s="2" customFormat="1"/>
    <row r="1337" s="2" customFormat="1"/>
    <row r="1338" s="2" customFormat="1"/>
    <row r="1339" s="2" customFormat="1"/>
    <row r="1340" s="2" customFormat="1"/>
    <row r="1341" s="2" customFormat="1"/>
    <row r="1342" s="2" customFormat="1"/>
    <row r="1343" s="2" customFormat="1"/>
    <row r="1344" s="2" customFormat="1"/>
    <row r="1345" s="2" customFormat="1"/>
    <row r="1346" s="2" customFormat="1"/>
    <row r="1347" s="2" customFormat="1"/>
    <row r="1348" s="2" customFormat="1"/>
    <row r="1349" s="2" customFormat="1"/>
    <row r="1350" s="2" customFormat="1"/>
    <row r="1351" s="2" customFormat="1"/>
    <row r="1352" s="2" customFormat="1"/>
    <row r="1353" s="2" customFormat="1"/>
    <row r="1354" s="2" customFormat="1"/>
    <row r="1355" s="2" customFormat="1"/>
    <row r="1356" s="2" customFormat="1"/>
    <row r="1357" s="2" customFormat="1"/>
    <row r="1358" s="2" customFormat="1"/>
    <row r="1359" s="2" customFormat="1"/>
    <row r="1360" s="2" customFormat="1"/>
    <row r="1361" s="2" customFormat="1"/>
    <row r="1362" s="2" customFormat="1"/>
    <row r="1363" s="2" customFormat="1"/>
    <row r="1364" s="2" customFormat="1"/>
    <row r="1365" s="2" customFormat="1"/>
    <row r="1366" s="2" customFormat="1"/>
    <row r="1367" s="2" customFormat="1"/>
    <row r="1368" s="2" customFormat="1"/>
    <row r="1369" s="2" customFormat="1"/>
    <row r="1370" s="2" customFormat="1"/>
    <row r="1371" s="2" customFormat="1"/>
    <row r="1372" s="2" customFormat="1"/>
    <row r="1373" s="2" customFormat="1"/>
    <row r="1374" s="2" customFormat="1"/>
    <row r="1375" s="2" customFormat="1"/>
    <row r="1376" s="2" customFormat="1"/>
    <row r="1377" s="2" customFormat="1"/>
    <row r="1378" s="2" customFormat="1"/>
    <row r="1379" s="2" customFormat="1"/>
    <row r="1380" s="2" customFormat="1"/>
    <row r="1381" s="2" customFormat="1"/>
    <row r="1382" s="2" customFormat="1"/>
    <row r="1383" s="2" customFormat="1"/>
    <row r="1384" s="2" customFormat="1"/>
    <row r="1385" s="2" customFormat="1"/>
    <row r="1386" s="2" customFormat="1"/>
    <row r="1387" s="2" customFormat="1"/>
    <row r="1388" s="2" customFormat="1"/>
    <row r="1389" s="2" customFormat="1"/>
    <row r="1390" s="2" customFormat="1"/>
    <row r="1391" s="2" customFormat="1"/>
    <row r="1392" s="2" customFormat="1"/>
    <row r="1393" s="2" customFormat="1"/>
    <row r="1394" s="2" customFormat="1"/>
    <row r="1395" s="2" customFormat="1"/>
    <row r="1396" s="2" customFormat="1"/>
    <row r="1397" s="2" customFormat="1"/>
    <row r="1398" s="2" customFormat="1"/>
    <row r="1399" s="2" customFormat="1"/>
    <row r="1400" s="2" customFormat="1"/>
    <row r="1401" s="2" customFormat="1"/>
    <row r="1402" s="2" customFormat="1"/>
    <row r="1403" s="2" customFormat="1"/>
    <row r="1404" s="2" customFormat="1"/>
    <row r="1405" s="2" customFormat="1"/>
    <row r="1406" s="2" customFormat="1"/>
    <row r="1407" s="2" customFormat="1"/>
    <row r="1408" s="2" customFormat="1"/>
    <row r="1409" s="2" customFormat="1"/>
    <row r="1410" s="2" customFormat="1"/>
    <row r="1411" s="2" customFormat="1"/>
    <row r="1412" s="2" customFormat="1"/>
    <row r="1413" s="2" customFormat="1"/>
    <row r="1414" s="2" customFormat="1"/>
    <row r="1415" s="2" customFormat="1"/>
    <row r="1416" s="2" customFormat="1"/>
    <row r="1417" s="2" customFormat="1"/>
    <row r="1418" s="2" customFormat="1"/>
    <row r="1419" s="2" customFormat="1"/>
    <row r="1420" s="2" customFormat="1"/>
    <row r="1421" s="2" customFormat="1"/>
    <row r="1422" s="2" customFormat="1"/>
    <row r="1423" s="2" customFormat="1"/>
    <row r="1424" s="2" customFormat="1"/>
    <row r="1425" s="2" customFormat="1"/>
    <row r="1426" s="2" customFormat="1"/>
    <row r="1427" s="2" customFormat="1"/>
    <row r="1428" s="2" customFormat="1"/>
    <row r="1429" s="2" customFormat="1"/>
    <row r="1430" s="2" customFormat="1"/>
    <row r="1431" s="2" customFormat="1"/>
    <row r="1432" s="2" customFormat="1"/>
    <row r="1433" s="2" customFormat="1"/>
    <row r="1434" s="2" customFormat="1"/>
    <row r="1435" s="2" customFormat="1"/>
    <row r="1436" s="2" customFormat="1"/>
    <row r="1437" s="2" customFormat="1"/>
    <row r="1438" s="2" customFormat="1"/>
    <row r="1439" s="2" customFormat="1"/>
    <row r="1440" s="2" customFormat="1"/>
    <row r="1441" s="2" customFormat="1"/>
    <row r="1442" s="2" customFormat="1"/>
    <row r="1443" s="2" customFormat="1"/>
    <row r="1444" s="2" customFormat="1"/>
    <row r="1445" s="2" customFormat="1"/>
    <row r="1446" s="2" customFormat="1"/>
    <row r="1447" s="2" customFormat="1"/>
    <row r="1448" s="2" customFormat="1"/>
    <row r="1449" s="2" customFormat="1"/>
    <row r="1450" s="2" customFormat="1"/>
    <row r="1451" s="2" customFormat="1"/>
    <row r="1452" s="2" customFormat="1"/>
    <row r="1453" s="2" customFormat="1"/>
    <row r="1454" s="2" customFormat="1"/>
    <row r="1455" s="2" customFormat="1"/>
    <row r="1456" s="2" customFormat="1"/>
    <row r="1457" s="2" customFormat="1"/>
    <row r="1458" s="2" customFormat="1"/>
    <row r="1459" s="2" customFormat="1"/>
    <row r="1460" s="2" customFormat="1"/>
    <row r="1461" s="2" customFormat="1"/>
    <row r="1462" s="2" customFormat="1"/>
    <row r="1463" s="2" customFormat="1"/>
    <row r="1464" s="2" customFormat="1"/>
    <row r="1465" s="2" customFormat="1"/>
    <row r="1466" s="2" customFormat="1"/>
    <row r="1467" s="2" customFormat="1"/>
    <row r="1468" s="2" customFormat="1"/>
    <row r="1469" s="2" customFormat="1"/>
    <row r="1470" s="2" customFormat="1"/>
    <row r="1471" s="2" customFormat="1"/>
    <row r="1472" s="2" customFormat="1"/>
    <row r="1473" s="2" customFormat="1"/>
    <row r="1474" s="2" customFormat="1"/>
    <row r="1475" s="2" customFormat="1"/>
    <row r="1476" s="2" customFormat="1"/>
    <row r="1477" s="2" customFormat="1"/>
    <row r="1478" s="2" customFormat="1"/>
    <row r="1479" s="2" customFormat="1"/>
    <row r="1480" s="2" customFormat="1"/>
    <row r="1481" s="2" customFormat="1"/>
    <row r="1482" s="2" customFormat="1"/>
    <row r="1483" s="2" customFormat="1"/>
    <row r="1484" s="2" customFormat="1"/>
    <row r="1485" s="2" customFormat="1"/>
    <row r="1486" s="2" customFormat="1"/>
    <row r="1487" s="2" customFormat="1"/>
    <row r="1488" s="2" customFormat="1"/>
    <row r="1489" s="2" customFormat="1"/>
    <row r="1490" s="2" customFormat="1"/>
    <row r="1491" s="2" customFormat="1"/>
    <row r="1492" s="2" customFormat="1"/>
    <row r="1493" s="2" customFormat="1"/>
    <row r="1494" s="2" customFormat="1"/>
    <row r="1495" s="2" customFormat="1"/>
    <row r="1496" s="2" customFormat="1"/>
    <row r="1497" s="2" customFormat="1"/>
    <row r="1498" s="2" customFormat="1"/>
    <row r="1499" s="2" customFormat="1"/>
    <row r="1500" s="2" customFormat="1"/>
    <row r="1501" s="2" customFormat="1"/>
    <row r="1502" s="2" customFormat="1"/>
    <row r="1503" s="2" customFormat="1"/>
    <row r="1504" s="2" customFormat="1"/>
    <row r="1505" s="2" customFormat="1"/>
    <row r="1506" s="2" customFormat="1"/>
    <row r="1507" s="2" customFormat="1"/>
    <row r="1508" s="2" customFormat="1"/>
    <row r="1509" s="2" customFormat="1"/>
    <row r="1510" s="2" customFormat="1"/>
    <row r="1511" s="2" customFormat="1"/>
    <row r="1512" s="2" customFormat="1"/>
    <row r="1513" s="2" customFormat="1"/>
    <row r="1514" s="2" customFormat="1"/>
    <row r="1515" s="2" customFormat="1"/>
    <row r="1516" s="2" customFormat="1"/>
    <row r="1517" s="2" customFormat="1"/>
    <row r="1518" s="2" customFormat="1"/>
    <row r="1519" s="2" customFormat="1"/>
    <row r="1520" s="2" customFormat="1"/>
    <row r="1521" s="2" customFormat="1"/>
  </sheetData>
  <mergeCells count="60">
    <mergeCell ref="A1:B1"/>
    <mergeCell ref="C1:D1"/>
    <mergeCell ref="A2:D2"/>
    <mergeCell ref="A7:D7"/>
    <mergeCell ref="C6:D6"/>
    <mergeCell ref="A21:D21"/>
    <mergeCell ref="A22:B22"/>
    <mergeCell ref="A27:D27"/>
    <mergeCell ref="A28:D28"/>
    <mergeCell ref="A8:C8"/>
    <mergeCell ref="A13:D13"/>
    <mergeCell ref="A20:C20"/>
    <mergeCell ref="A24:B24"/>
    <mergeCell ref="A25:B25"/>
    <mergeCell ref="A23:B23"/>
    <mergeCell ref="A12:D12"/>
    <mergeCell ref="A9:C9"/>
    <mergeCell ref="A10:C10"/>
    <mergeCell ref="A11:C11"/>
    <mergeCell ref="A30:B30"/>
    <mergeCell ref="A32:B32"/>
    <mergeCell ref="A33:B33"/>
    <mergeCell ref="A29:B29"/>
    <mergeCell ref="A26:B26"/>
    <mergeCell ref="A36:B36"/>
    <mergeCell ref="A31:B31"/>
    <mergeCell ref="A35:B35"/>
    <mergeCell ref="A45:B45"/>
    <mergeCell ref="A37:B37"/>
    <mergeCell ref="A43:B43"/>
    <mergeCell ref="A39:B39"/>
    <mergeCell ref="A34:B34"/>
    <mergeCell ref="A52:B52"/>
    <mergeCell ref="C52:D52"/>
    <mergeCell ref="A46:B46"/>
    <mergeCell ref="A48:D48"/>
    <mergeCell ref="A49:B49"/>
    <mergeCell ref="A50:B50"/>
    <mergeCell ref="A51:B51"/>
    <mergeCell ref="C51:D51"/>
    <mergeCell ref="A47:C47"/>
    <mergeCell ref="A64:B64"/>
    <mergeCell ref="A53:B53"/>
    <mergeCell ref="A54:B54"/>
    <mergeCell ref="A55:B55"/>
    <mergeCell ref="A56:B56"/>
    <mergeCell ref="A57:B57"/>
    <mergeCell ref="A59:D59"/>
    <mergeCell ref="A60:B60"/>
    <mergeCell ref="A61:B61"/>
    <mergeCell ref="A62:B62"/>
    <mergeCell ref="A63:B63"/>
    <mergeCell ref="A58:D58"/>
    <mergeCell ref="C61:D61"/>
    <mergeCell ref="A65:D65"/>
    <mergeCell ref="A66:B66"/>
    <mergeCell ref="A67:B67"/>
    <mergeCell ref="A70:C70"/>
    <mergeCell ref="A69:C69"/>
    <mergeCell ref="A68:C6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4"/>
  <sheetViews>
    <sheetView topLeftCell="A142" workbookViewId="0">
      <selection activeCell="D7" sqref="D7"/>
    </sheetView>
  </sheetViews>
  <sheetFormatPr defaultRowHeight="15"/>
  <cols>
    <col min="1" max="2" width="20.7109375" style="189" customWidth="1"/>
    <col min="3" max="3" width="12.140625" style="189" bestFit="1" customWidth="1"/>
    <col min="4" max="4" width="13.7109375" style="189" bestFit="1" customWidth="1"/>
    <col min="5" max="5" width="13.28515625" style="2" bestFit="1" customWidth="1"/>
    <col min="6" max="6" width="18.140625" style="2" customWidth="1"/>
    <col min="7" max="7" width="17.85546875" style="2" bestFit="1" customWidth="1"/>
    <col min="8" max="16384" width="9.140625" style="2"/>
  </cols>
  <sheetData>
    <row r="1" spans="1:4" ht="110.25" customHeight="1">
      <c r="A1" s="339"/>
      <c r="B1" s="340"/>
      <c r="C1" s="368" t="s">
        <v>163</v>
      </c>
      <c r="D1" s="369"/>
    </row>
    <row r="2" spans="1:4">
      <c r="A2" s="335" t="s">
        <v>164</v>
      </c>
      <c r="B2" s="335"/>
      <c r="C2" s="335"/>
      <c r="D2" s="335"/>
    </row>
    <row r="3" spans="1:4">
      <c r="A3" s="335" t="s">
        <v>165</v>
      </c>
      <c r="B3" s="335"/>
      <c r="C3" s="335"/>
      <c r="D3" s="335"/>
    </row>
    <row r="4" spans="1:4">
      <c r="A4" s="370" t="s">
        <v>166</v>
      </c>
      <c r="B4" s="370"/>
      <c r="C4" s="370"/>
      <c r="D4" s="168">
        <v>2500</v>
      </c>
    </row>
    <row r="5" spans="1:4">
      <c r="A5" s="371" t="s">
        <v>167</v>
      </c>
      <c r="B5" s="371"/>
      <c r="C5" s="371"/>
      <c r="D5" s="169">
        <f>'Encargos sociais'!B28</f>
        <v>0.61166090000000006</v>
      </c>
    </row>
    <row r="6" spans="1:4">
      <c r="A6" s="378" t="s">
        <v>353</v>
      </c>
      <c r="B6" s="379"/>
      <c r="C6" s="380"/>
      <c r="D6" s="170">
        <v>1.05</v>
      </c>
    </row>
    <row r="7" spans="1:4">
      <c r="A7" s="370" t="s">
        <v>168</v>
      </c>
      <c r="B7" s="370"/>
      <c r="C7" s="370"/>
      <c r="D7" s="171">
        <f>D5*D4+D4+D6+700</f>
        <v>4730.2022500000003</v>
      </c>
    </row>
    <row r="8" spans="1:4">
      <c r="A8" s="374" t="s">
        <v>169</v>
      </c>
      <c r="B8" s="374"/>
      <c r="C8" s="374"/>
      <c r="D8" s="172">
        <v>38</v>
      </c>
    </row>
    <row r="9" spans="1:4">
      <c r="A9" s="375" t="s">
        <v>170</v>
      </c>
      <c r="B9" s="375"/>
      <c r="C9" s="375"/>
      <c r="D9" s="173">
        <f>D8*D7</f>
        <v>179747.68550000002</v>
      </c>
    </row>
    <row r="10" spans="1:4">
      <c r="A10" s="375" t="s">
        <v>171</v>
      </c>
      <c r="B10" s="375"/>
      <c r="C10" s="375"/>
      <c r="D10" s="174">
        <f>D9/'Composiçaõ de dados básicos'!$D$3</f>
        <v>1.687382250181132</v>
      </c>
    </row>
    <row r="11" spans="1:4">
      <c r="A11" s="376"/>
      <c r="B11" s="376"/>
      <c r="C11" s="376"/>
      <c r="D11" s="376"/>
    </row>
    <row r="12" spans="1:4">
      <c r="A12" s="335" t="s">
        <v>172</v>
      </c>
      <c r="B12" s="335"/>
      <c r="C12" s="335"/>
      <c r="D12" s="335"/>
    </row>
    <row r="13" spans="1:4">
      <c r="A13" s="370" t="s">
        <v>173</v>
      </c>
      <c r="B13" s="370"/>
      <c r="C13" s="370"/>
      <c r="D13" s="168">
        <v>1450</v>
      </c>
    </row>
    <row r="14" spans="1:4">
      <c r="A14" s="371" t="s">
        <v>167</v>
      </c>
      <c r="B14" s="371"/>
      <c r="C14" s="371"/>
      <c r="D14" s="169">
        <f>'Encargos sociais'!B28</f>
        <v>0.61166090000000006</v>
      </c>
    </row>
    <row r="15" spans="1:4">
      <c r="A15" s="370" t="s">
        <v>168</v>
      </c>
      <c r="B15" s="370"/>
      <c r="C15" s="370"/>
      <c r="D15" s="171">
        <f>D13*D14+D13</f>
        <v>2336.9083049999999</v>
      </c>
    </row>
    <row r="16" spans="1:4">
      <c r="A16" s="374" t="s">
        <v>174</v>
      </c>
      <c r="B16" s="374"/>
      <c r="C16" s="374"/>
      <c r="D16" s="172">
        <v>3</v>
      </c>
    </row>
    <row r="17" spans="1:6">
      <c r="A17" s="377" t="s">
        <v>175</v>
      </c>
      <c r="B17" s="377"/>
      <c r="C17" s="377"/>
      <c r="D17" s="173">
        <f>D16*D15</f>
        <v>7010.7249149999998</v>
      </c>
    </row>
    <row r="18" spans="1:6">
      <c r="A18" s="377" t="s">
        <v>176</v>
      </c>
      <c r="B18" s="377"/>
      <c r="C18" s="377"/>
      <c r="D18" s="174">
        <f>D17/'Composiçaõ de dados básicos'!$D$3</f>
        <v>6.5813213391688566E-2</v>
      </c>
    </row>
    <row r="19" spans="1:6">
      <c r="A19" s="372"/>
      <c r="B19" s="372"/>
      <c r="C19" s="372"/>
      <c r="D19" s="372"/>
    </row>
    <row r="20" spans="1:6">
      <c r="A20" s="373" t="s">
        <v>177</v>
      </c>
      <c r="B20" s="373"/>
      <c r="C20" s="373"/>
      <c r="D20" s="373"/>
    </row>
    <row r="21" spans="1:6">
      <c r="A21" s="371" t="s">
        <v>178</v>
      </c>
      <c r="B21" s="371"/>
      <c r="C21" s="371"/>
      <c r="D21" s="175">
        <v>2950</v>
      </c>
    </row>
    <row r="22" spans="1:6">
      <c r="A22" s="371" t="s">
        <v>348</v>
      </c>
      <c r="B22" s="371"/>
      <c r="C22" s="371"/>
      <c r="D22" s="175">
        <v>1820</v>
      </c>
    </row>
    <row r="23" spans="1:6">
      <c r="A23" s="371" t="s">
        <v>167</v>
      </c>
      <c r="B23" s="371"/>
      <c r="C23" s="371"/>
      <c r="D23" s="169">
        <f>'Encargos sociais'!B28</f>
        <v>0.61166090000000006</v>
      </c>
    </row>
    <row r="24" spans="1:6">
      <c r="A24" s="370" t="s">
        <v>351</v>
      </c>
      <c r="B24" s="370"/>
      <c r="C24" s="370"/>
      <c r="D24" s="171">
        <f>D21*D23+D21</f>
        <v>4754.3996550000002</v>
      </c>
    </row>
    <row r="25" spans="1:6">
      <c r="A25" s="370" t="s">
        <v>352</v>
      </c>
      <c r="B25" s="370"/>
      <c r="C25" s="370"/>
      <c r="D25" s="171">
        <f>D22*D23+D22</f>
        <v>2933.2228380000001</v>
      </c>
    </row>
    <row r="26" spans="1:6">
      <c r="A26" s="383" t="s">
        <v>349</v>
      </c>
      <c r="B26" s="383"/>
      <c r="C26" s="383"/>
      <c r="D26" s="176">
        <v>3</v>
      </c>
    </row>
    <row r="27" spans="1:6">
      <c r="A27" s="383" t="s">
        <v>350</v>
      </c>
      <c r="B27" s="383"/>
      <c r="C27" s="383"/>
      <c r="D27" s="177">
        <v>2</v>
      </c>
    </row>
    <row r="28" spans="1:6">
      <c r="A28" s="375" t="s">
        <v>179</v>
      </c>
      <c r="B28" s="375"/>
      <c r="C28" s="375"/>
      <c r="D28" s="173">
        <f>D26*D24+D27*D25</f>
        <v>20129.644640999999</v>
      </c>
    </row>
    <row r="29" spans="1:6">
      <c r="A29" s="375" t="s">
        <v>180</v>
      </c>
      <c r="B29" s="375"/>
      <c r="C29" s="375"/>
      <c r="D29" s="174">
        <f>D28/'Composiçaõ de dados básicos'!$D$3</f>
        <v>0.18896713454303221</v>
      </c>
      <c r="F29" s="86"/>
    </row>
    <row r="30" spans="1:6">
      <c r="A30" s="372"/>
      <c r="B30" s="372"/>
      <c r="C30" s="372"/>
      <c r="D30" s="372"/>
    </row>
    <row r="31" spans="1:6">
      <c r="A31" s="386" t="s">
        <v>181</v>
      </c>
      <c r="B31" s="386"/>
      <c r="C31" s="386"/>
      <c r="D31" s="386"/>
    </row>
    <row r="32" spans="1:6">
      <c r="A32" s="371" t="s">
        <v>182</v>
      </c>
      <c r="B32" s="371"/>
      <c r="C32" s="371"/>
      <c r="D32" s="271">
        <v>2345</v>
      </c>
    </row>
    <row r="33" spans="1:6">
      <c r="A33" s="371" t="s">
        <v>183</v>
      </c>
      <c r="B33" s="371"/>
      <c r="C33" s="371"/>
      <c r="D33" s="271">
        <v>1350</v>
      </c>
    </row>
    <row r="34" spans="1:6">
      <c r="A34" s="384" t="s">
        <v>184</v>
      </c>
      <c r="B34" s="384"/>
      <c r="C34" s="384"/>
      <c r="D34" s="271">
        <v>3300</v>
      </c>
    </row>
    <row r="35" spans="1:6">
      <c r="A35" s="371" t="s">
        <v>185</v>
      </c>
      <c r="B35" s="371"/>
      <c r="C35" s="371"/>
      <c r="D35" s="149">
        <f>SUM(D32:D34)</f>
        <v>6995</v>
      </c>
    </row>
    <row r="36" spans="1:6">
      <c r="A36" s="371" t="s">
        <v>167</v>
      </c>
      <c r="B36" s="371"/>
      <c r="C36" s="371"/>
      <c r="D36" s="169">
        <f>'Encargos sociais'!B28</f>
        <v>0.61166090000000006</v>
      </c>
    </row>
    <row r="37" spans="1:6">
      <c r="A37" s="360" t="s">
        <v>280</v>
      </c>
      <c r="B37" s="360"/>
      <c r="C37" s="360"/>
      <c r="D37" s="161">
        <f>D35+D35*D36</f>
        <v>11273.567995500001</v>
      </c>
    </row>
    <row r="38" spans="1:6">
      <c r="A38" s="360" t="s">
        <v>281</v>
      </c>
      <c r="B38" s="360"/>
      <c r="C38" s="360"/>
      <c r="D38" s="174">
        <f>D37/'Composiçaõ de dados básicos'!$D$3</f>
        <v>0.1058306730287038</v>
      </c>
    </row>
    <row r="39" spans="1:6">
      <c r="A39" s="385"/>
      <c r="B39" s="385"/>
      <c r="C39" s="385"/>
      <c r="D39" s="385"/>
    </row>
    <row r="40" spans="1:6">
      <c r="A40" s="386" t="s">
        <v>270</v>
      </c>
      <c r="B40" s="386"/>
      <c r="C40" s="386"/>
      <c r="D40" s="386"/>
    </row>
    <row r="41" spans="1:6">
      <c r="A41" s="389" t="s">
        <v>360</v>
      </c>
      <c r="B41" s="389"/>
      <c r="C41" s="389"/>
      <c r="D41" s="268">
        <v>18549</v>
      </c>
      <c r="F41" s="86"/>
    </row>
    <row r="42" spans="1:6">
      <c r="A42" s="355" t="s">
        <v>361</v>
      </c>
      <c r="B42" s="356"/>
      <c r="C42" s="357"/>
      <c r="D42" s="268">
        <v>5000</v>
      </c>
      <c r="F42" s="86"/>
    </row>
    <row r="43" spans="1:6">
      <c r="A43" s="389" t="s">
        <v>282</v>
      </c>
      <c r="B43" s="389"/>
      <c r="C43" s="389"/>
      <c r="D43" s="268">
        <v>950</v>
      </c>
      <c r="E43" s="86"/>
    </row>
    <row r="44" spans="1:6">
      <c r="A44" s="389" t="s">
        <v>283</v>
      </c>
      <c r="B44" s="389"/>
      <c r="C44" s="389"/>
      <c r="D44" s="268">
        <v>758</v>
      </c>
      <c r="E44" s="86"/>
    </row>
    <row r="45" spans="1:6">
      <c r="A45" s="389" t="s">
        <v>386</v>
      </c>
      <c r="B45" s="389"/>
      <c r="C45" s="389"/>
      <c r="D45" s="268">
        <v>3254</v>
      </c>
      <c r="E45" s="86"/>
    </row>
    <row r="46" spans="1:6">
      <c r="A46" s="389" t="s">
        <v>284</v>
      </c>
      <c r="B46" s="389"/>
      <c r="C46" s="389"/>
      <c r="D46" s="268">
        <v>450</v>
      </c>
      <c r="E46" s="86"/>
    </row>
    <row r="47" spans="1:6">
      <c r="A47" s="390" t="s">
        <v>190</v>
      </c>
      <c r="B47" s="390"/>
      <c r="C47" s="390"/>
      <c r="D47" s="272">
        <f>SUM(D41:D46)</f>
        <v>28961</v>
      </c>
      <c r="E47" s="86"/>
    </row>
    <row r="48" spans="1:6">
      <c r="A48" s="390" t="s">
        <v>191</v>
      </c>
      <c r="B48" s="390"/>
      <c r="C48" s="390"/>
      <c r="D48" s="174">
        <f>D47/'Composiçaõ de dados básicos'!$D$3</f>
        <v>0.27187152486308791</v>
      </c>
    </row>
    <row r="49" spans="1:6">
      <c r="A49" s="385"/>
      <c r="B49" s="385"/>
      <c r="C49" s="385"/>
      <c r="D49" s="385"/>
    </row>
    <row r="50" spans="1:6">
      <c r="A50" s="386" t="s">
        <v>354</v>
      </c>
      <c r="B50" s="386"/>
      <c r="C50" s="386"/>
      <c r="D50" s="386"/>
    </row>
    <row r="51" spans="1:6">
      <c r="A51" s="391" t="s">
        <v>362</v>
      </c>
      <c r="B51" s="392"/>
      <c r="C51" s="393"/>
      <c r="D51" s="267">
        <v>16850</v>
      </c>
    </row>
    <row r="52" spans="1:6">
      <c r="A52" s="391" t="s">
        <v>385</v>
      </c>
      <c r="B52" s="392"/>
      <c r="C52" s="393"/>
      <c r="D52" s="267">
        <v>95000</v>
      </c>
    </row>
    <row r="53" spans="1:6">
      <c r="A53" s="391" t="s">
        <v>289</v>
      </c>
      <c r="B53" s="392"/>
      <c r="C53" s="393"/>
      <c r="D53" s="267">
        <v>150000</v>
      </c>
    </row>
    <row r="54" spans="1:6">
      <c r="A54" s="326" t="s">
        <v>192</v>
      </c>
      <c r="B54" s="326"/>
      <c r="C54" s="326"/>
      <c r="D54" s="149">
        <f>D52+D53</f>
        <v>245000</v>
      </c>
    </row>
    <row r="55" spans="1:6">
      <c r="A55" s="326" t="s">
        <v>193</v>
      </c>
      <c r="B55" s="326"/>
      <c r="C55" s="326"/>
      <c r="D55" s="261" t="s">
        <v>194</v>
      </c>
      <c r="F55" s="86"/>
    </row>
    <row r="56" spans="1:6">
      <c r="A56" s="358" t="s">
        <v>195</v>
      </c>
      <c r="B56" s="358"/>
      <c r="C56" s="358"/>
      <c r="D56" s="149">
        <f>D54*0.12</f>
        <v>29400</v>
      </c>
      <c r="F56" s="86"/>
    </row>
    <row r="57" spans="1:6">
      <c r="A57" s="358" t="s">
        <v>363</v>
      </c>
      <c r="B57" s="358"/>
      <c r="C57" s="358"/>
      <c r="D57" s="149">
        <f>D56/12</f>
        <v>2450</v>
      </c>
      <c r="F57" s="86"/>
    </row>
    <row r="58" spans="1:6">
      <c r="A58" s="395" t="s">
        <v>364</v>
      </c>
      <c r="B58" s="395"/>
      <c r="C58" s="395"/>
      <c r="D58" s="161">
        <f>D57+D51</f>
        <v>19300</v>
      </c>
    </row>
    <row r="59" spans="1:6">
      <c r="A59" s="395" t="s">
        <v>196</v>
      </c>
      <c r="B59" s="395"/>
      <c r="C59" s="395"/>
      <c r="D59" s="174">
        <f>D58/'Composiçaõ de dados básicos'!$D$3</f>
        <v>0.18117884154060968</v>
      </c>
    </row>
    <row r="61" spans="1:6">
      <c r="A61" s="387" t="s">
        <v>355</v>
      </c>
      <c r="B61" s="387"/>
      <c r="C61" s="387"/>
      <c r="D61" s="387"/>
    </row>
    <row r="62" spans="1:6">
      <c r="A62" s="388" t="s">
        <v>186</v>
      </c>
      <c r="B62" s="388"/>
      <c r="C62" s="388"/>
      <c r="D62" s="268">
        <v>430</v>
      </c>
    </row>
    <row r="63" spans="1:6">
      <c r="A63" s="326" t="s">
        <v>53</v>
      </c>
      <c r="B63" s="326"/>
      <c r="C63" s="326"/>
      <c r="D63" s="269">
        <v>23</v>
      </c>
    </row>
    <row r="64" spans="1:6">
      <c r="A64" s="388" t="s">
        <v>187</v>
      </c>
      <c r="B64" s="388"/>
      <c r="C64" s="388"/>
      <c r="D64" s="270">
        <f>D62*D63/12</f>
        <v>824.16666666666663</v>
      </c>
    </row>
    <row r="65" spans="1:7">
      <c r="A65" s="360" t="s">
        <v>188</v>
      </c>
      <c r="B65" s="360"/>
      <c r="C65" s="360"/>
      <c r="D65" s="179">
        <f>D64</f>
        <v>824.16666666666663</v>
      </c>
    </row>
    <row r="66" spans="1:7">
      <c r="A66" s="360" t="s">
        <v>189</v>
      </c>
      <c r="B66" s="360"/>
      <c r="C66" s="360"/>
      <c r="D66" s="174">
        <f>D65/'Composiçaõ de dados básicos'!D3</f>
        <v>7.7368684923861388E-3</v>
      </c>
    </row>
    <row r="67" spans="1:7">
      <c r="A67" s="359"/>
      <c r="B67" s="359"/>
      <c r="C67" s="359"/>
      <c r="D67" s="359"/>
    </row>
    <row r="68" spans="1:7">
      <c r="A68" s="394" t="s">
        <v>356</v>
      </c>
      <c r="B68" s="394"/>
      <c r="C68" s="394"/>
      <c r="D68" s="394"/>
    </row>
    <row r="69" spans="1:7">
      <c r="A69" s="346"/>
      <c r="B69" s="346"/>
      <c r="C69" s="180" t="s">
        <v>40</v>
      </c>
      <c r="D69" s="181" t="s">
        <v>41</v>
      </c>
    </row>
    <row r="70" spans="1:7">
      <c r="A70" s="382" t="s">
        <v>197</v>
      </c>
      <c r="B70" s="382"/>
      <c r="C70" s="182">
        <v>0.2</v>
      </c>
      <c r="D70" s="182">
        <v>0.15</v>
      </c>
    </row>
    <row r="71" spans="1:7">
      <c r="A71" s="382" t="s">
        <v>198</v>
      </c>
      <c r="B71" s="382"/>
      <c r="C71" s="183">
        <v>8</v>
      </c>
      <c r="D71" s="183">
        <v>10</v>
      </c>
      <c r="F71" s="14"/>
      <c r="G71" s="14"/>
    </row>
    <row r="72" spans="1:7">
      <c r="A72" s="382" t="s">
        <v>199</v>
      </c>
      <c r="B72" s="382"/>
      <c r="C72" s="141">
        <f>'Composiçaõ de dados básicos'!C17</f>
        <v>215000</v>
      </c>
      <c r="D72" s="184">
        <f>'Composiçaõ de dados básicos'!D17</f>
        <v>295222</v>
      </c>
      <c r="F72" s="14"/>
      <c r="G72" s="14"/>
    </row>
    <row r="73" spans="1:7">
      <c r="A73" s="382" t="s">
        <v>311</v>
      </c>
      <c r="B73" s="382"/>
      <c r="C73" s="141">
        <f>C72*'Composiçaõ de dados básicos'!B33</f>
        <v>215000</v>
      </c>
      <c r="D73" s="141">
        <f>D72*'Composiçaõ de dados básicos'!C33</f>
        <v>6494884</v>
      </c>
      <c r="F73" s="91"/>
      <c r="G73" s="91"/>
    </row>
    <row r="74" spans="1:7">
      <c r="A74" s="382" t="s">
        <v>200</v>
      </c>
      <c r="B74" s="382"/>
      <c r="C74" s="184">
        <f>C72*C70</f>
        <v>43000</v>
      </c>
      <c r="D74" s="184">
        <f>D72*D70</f>
        <v>44283.299999999996</v>
      </c>
      <c r="F74" s="14"/>
      <c r="G74" s="91"/>
    </row>
    <row r="75" spans="1:7">
      <c r="A75" s="361" t="s">
        <v>285</v>
      </c>
      <c r="B75" s="361"/>
      <c r="C75" s="361"/>
      <c r="D75" s="361"/>
      <c r="F75" s="14"/>
      <c r="G75" s="14"/>
    </row>
    <row r="76" spans="1:7">
      <c r="A76" s="362"/>
      <c r="B76" s="363"/>
      <c r="C76" s="363"/>
      <c r="D76" s="364"/>
      <c r="F76" s="14"/>
      <c r="G76" s="14"/>
    </row>
    <row r="77" spans="1:7">
      <c r="A77" s="359">
        <v>1</v>
      </c>
      <c r="B77" s="359"/>
      <c r="C77" s="185">
        <f>(($C$71-A77+1)/($A$84+$A$83+$A$82+$A$81+$A$80+$A$79+$A$78+$A$77))*(1-$C$70)</f>
        <v>0.17777777777777778</v>
      </c>
      <c r="D77" s="185">
        <f>(($D$71-A77+1)/($A$84+$A$83+$A$82+$A$81+$A$80+$A$79+$A$78+$A$77+$A$85+$A$86))*(1-$D$70)</f>
        <v>0.15454545454545454</v>
      </c>
      <c r="F77" s="92"/>
      <c r="G77" s="93"/>
    </row>
    <row r="78" spans="1:7">
      <c r="A78" s="359">
        <v>2</v>
      </c>
      <c r="B78" s="359"/>
      <c r="C78" s="185">
        <f>(($C$71-A78+1)/($A$84+$A$83+$A$82+$A$81+$A$80+$A$79+$A$78+$A$77))*(1-$C$70)</f>
        <v>0.15555555555555556</v>
      </c>
      <c r="D78" s="185">
        <f t="shared" ref="D78:D86" si="0">(($D$71-A78+1)/($A$84+$A$83+$A$82+$A$81+$A$80+$A$79+$A$78+$A$77+$A$85+$A$86))*(1-$D$70)</f>
        <v>0.1390909090909091</v>
      </c>
      <c r="F78" s="94"/>
      <c r="G78" s="93"/>
    </row>
    <row r="79" spans="1:7">
      <c r="A79" s="359">
        <v>3</v>
      </c>
      <c r="B79" s="359"/>
      <c r="C79" s="185">
        <f t="shared" ref="C79:C84" si="1">(($C$71-A79+1)/($A$84+$A$83+$A$82+$A$81+$A$80+$A$79+$A$78+$A$77))*(1-$C$70)</f>
        <v>0.13333333333333333</v>
      </c>
      <c r="D79" s="185">
        <f t="shared" si="0"/>
        <v>0.12363636363636363</v>
      </c>
      <c r="F79" s="94"/>
      <c r="G79" s="93"/>
    </row>
    <row r="80" spans="1:7">
      <c r="A80" s="359">
        <v>4</v>
      </c>
      <c r="B80" s="359"/>
      <c r="C80" s="185">
        <f t="shared" si="1"/>
        <v>0.11111111111111112</v>
      </c>
      <c r="D80" s="185">
        <f t="shared" si="0"/>
        <v>0.10818181818181817</v>
      </c>
      <c r="F80" s="94"/>
      <c r="G80" s="93"/>
    </row>
    <row r="81" spans="1:7">
      <c r="A81" s="359">
        <v>5</v>
      </c>
      <c r="B81" s="359"/>
      <c r="C81" s="185">
        <f t="shared" si="1"/>
        <v>8.8888888888888892E-2</v>
      </c>
      <c r="D81" s="185">
        <f t="shared" si="0"/>
        <v>9.2727272727272714E-2</v>
      </c>
      <c r="F81" s="94"/>
      <c r="G81" s="93"/>
    </row>
    <row r="82" spans="1:7">
      <c r="A82" s="359">
        <v>6</v>
      </c>
      <c r="B82" s="359"/>
      <c r="C82" s="185">
        <f t="shared" si="1"/>
        <v>6.6666666666666666E-2</v>
      </c>
      <c r="D82" s="185">
        <f t="shared" si="0"/>
        <v>7.7272727272727271E-2</v>
      </c>
      <c r="F82" s="94"/>
      <c r="G82" s="93"/>
    </row>
    <row r="83" spans="1:7">
      <c r="A83" s="359">
        <v>7</v>
      </c>
      <c r="B83" s="359"/>
      <c r="C83" s="185">
        <f t="shared" si="1"/>
        <v>4.4444444444444446E-2</v>
      </c>
      <c r="D83" s="185">
        <f t="shared" si="0"/>
        <v>6.1818181818181814E-2</v>
      </c>
      <c r="F83" s="94"/>
      <c r="G83" s="93"/>
    </row>
    <row r="84" spans="1:7">
      <c r="A84" s="359">
        <v>8</v>
      </c>
      <c r="B84" s="359"/>
      <c r="C84" s="185">
        <f t="shared" si="1"/>
        <v>2.2222222222222223E-2</v>
      </c>
      <c r="D84" s="185">
        <f t="shared" si="0"/>
        <v>4.6363636363636357E-2</v>
      </c>
      <c r="F84" s="94"/>
      <c r="G84" s="93"/>
    </row>
    <row r="85" spans="1:7">
      <c r="A85" s="359">
        <v>9</v>
      </c>
      <c r="B85" s="359"/>
      <c r="C85" s="185"/>
      <c r="D85" s="185">
        <f t="shared" si="0"/>
        <v>3.0909090909090907E-2</v>
      </c>
      <c r="F85" s="94"/>
      <c r="G85" s="93"/>
    </row>
    <row r="86" spans="1:7">
      <c r="A86" s="359">
        <v>10</v>
      </c>
      <c r="B86" s="359"/>
      <c r="C86" s="185"/>
      <c r="D86" s="185">
        <f t="shared" si="0"/>
        <v>1.5454545454545453E-2</v>
      </c>
      <c r="F86" s="94"/>
      <c r="G86" s="93"/>
    </row>
    <row r="87" spans="1:7">
      <c r="A87" s="359">
        <v>11</v>
      </c>
      <c r="B87" s="359"/>
      <c r="C87" s="185"/>
      <c r="D87" s="185"/>
      <c r="F87" s="95"/>
      <c r="G87" s="93"/>
    </row>
    <row r="88" spans="1:7">
      <c r="A88" s="359">
        <v>12</v>
      </c>
      <c r="B88" s="359"/>
      <c r="C88" s="185"/>
      <c r="D88" s="185"/>
      <c r="F88" s="14"/>
      <c r="G88" s="14"/>
    </row>
    <row r="89" spans="1:7">
      <c r="A89" s="359">
        <v>13</v>
      </c>
      <c r="B89" s="359"/>
      <c r="C89" s="185"/>
      <c r="D89" s="185"/>
      <c r="F89" s="14"/>
      <c r="G89" s="14"/>
    </row>
    <row r="90" spans="1:7">
      <c r="A90" s="359">
        <v>14</v>
      </c>
      <c r="B90" s="359"/>
      <c r="C90" s="185"/>
      <c r="D90" s="185"/>
      <c r="F90" s="14"/>
      <c r="G90" s="14"/>
    </row>
    <row r="91" spans="1:7">
      <c r="A91" s="359">
        <v>15</v>
      </c>
      <c r="B91" s="359"/>
      <c r="C91" s="185"/>
      <c r="D91" s="185"/>
      <c r="F91" s="14"/>
      <c r="G91" s="14"/>
    </row>
    <row r="92" spans="1:7">
      <c r="A92" s="365"/>
      <c r="B92" s="366"/>
      <c r="C92" s="366"/>
      <c r="D92" s="367"/>
      <c r="F92" s="14"/>
      <c r="G92" s="14"/>
    </row>
    <row r="93" spans="1:7">
      <c r="A93" s="361" t="s">
        <v>201</v>
      </c>
      <c r="B93" s="361"/>
      <c r="C93" s="361"/>
      <c r="D93" s="361"/>
      <c r="F93" s="14"/>
      <c r="G93" s="14"/>
    </row>
    <row r="94" spans="1:7">
      <c r="A94" s="346" t="s">
        <v>202</v>
      </c>
      <c r="B94" s="346"/>
      <c r="C94" s="186">
        <f>C77*C$72</f>
        <v>38222.222222222226</v>
      </c>
      <c r="D94" s="186">
        <f>D77*D$72</f>
        <v>45625.218181818178</v>
      </c>
      <c r="F94" s="88"/>
      <c r="G94" s="96"/>
    </row>
    <row r="95" spans="1:7">
      <c r="A95" s="346" t="s">
        <v>203</v>
      </c>
      <c r="B95" s="346"/>
      <c r="C95" s="186">
        <f t="shared" ref="C95:D95" si="2">C78*C$72</f>
        <v>33444.444444444445</v>
      </c>
      <c r="D95" s="186">
        <f t="shared" si="2"/>
        <v>41062.696363636365</v>
      </c>
      <c r="F95" s="14"/>
      <c r="G95" s="97"/>
    </row>
    <row r="96" spans="1:7">
      <c r="A96" s="346" t="s">
        <v>204</v>
      </c>
      <c r="B96" s="346"/>
      <c r="C96" s="186">
        <f t="shared" ref="C96:D96" si="3">C79*C$72</f>
        <v>28666.666666666668</v>
      </c>
      <c r="D96" s="186">
        <f t="shared" si="3"/>
        <v>36500.174545454545</v>
      </c>
      <c r="F96" s="14"/>
      <c r="G96" s="97"/>
    </row>
    <row r="97" spans="1:7">
      <c r="A97" s="346" t="s">
        <v>205</v>
      </c>
      <c r="B97" s="346"/>
      <c r="C97" s="186">
        <f t="shared" ref="C97:D97" si="4">C80*C$72</f>
        <v>23888.888888888891</v>
      </c>
      <c r="D97" s="186">
        <f t="shared" si="4"/>
        <v>31937.652727272725</v>
      </c>
      <c r="F97" s="14"/>
      <c r="G97" s="97"/>
    </row>
    <row r="98" spans="1:7">
      <c r="A98" s="346" t="s">
        <v>206</v>
      </c>
      <c r="B98" s="346"/>
      <c r="C98" s="186">
        <f t="shared" ref="C98:D98" si="5">C81*C$72</f>
        <v>19111.111111111113</v>
      </c>
      <c r="D98" s="186">
        <f t="shared" si="5"/>
        <v>27375.130909090905</v>
      </c>
      <c r="F98" s="14"/>
      <c r="G98" s="97"/>
    </row>
    <row r="99" spans="1:7">
      <c r="A99" s="346" t="s">
        <v>207</v>
      </c>
      <c r="B99" s="346"/>
      <c r="C99" s="186">
        <f t="shared" ref="C99:D99" si="6">C82*C$72</f>
        <v>14333.333333333334</v>
      </c>
      <c r="D99" s="186">
        <f t="shared" si="6"/>
        <v>22812.609090909089</v>
      </c>
      <c r="F99" s="14"/>
      <c r="G99" s="97"/>
    </row>
    <row r="100" spans="1:7">
      <c r="A100" s="346" t="s">
        <v>208</v>
      </c>
      <c r="B100" s="346"/>
      <c r="C100" s="186">
        <f t="shared" ref="C100:D100" si="7">C83*C$72</f>
        <v>9555.5555555555566</v>
      </c>
      <c r="D100" s="186">
        <f t="shared" si="7"/>
        <v>18250.087272727273</v>
      </c>
      <c r="F100" s="14"/>
      <c r="G100" s="97"/>
    </row>
    <row r="101" spans="1:7">
      <c r="A101" s="346" t="s">
        <v>209</v>
      </c>
      <c r="B101" s="346"/>
      <c r="C101" s="186">
        <f t="shared" ref="C101:D101" si="8">C84*C$72</f>
        <v>4777.7777777777783</v>
      </c>
      <c r="D101" s="186">
        <f t="shared" si="8"/>
        <v>13687.565454545453</v>
      </c>
      <c r="F101" s="14"/>
      <c r="G101" s="97"/>
    </row>
    <row r="102" spans="1:7">
      <c r="A102" s="346" t="s">
        <v>210</v>
      </c>
      <c r="B102" s="346"/>
      <c r="C102" s="186"/>
      <c r="D102" s="186">
        <f t="shared" ref="D102" si="9">D85*D$72</f>
        <v>9125.0436363636363</v>
      </c>
      <c r="F102" s="14"/>
      <c r="G102" s="97"/>
    </row>
    <row r="103" spans="1:7">
      <c r="A103" s="346" t="s">
        <v>211</v>
      </c>
      <c r="B103" s="346"/>
      <c r="C103" s="186"/>
      <c r="D103" s="186">
        <f t="shared" ref="D103" si="10">D86*D$72</f>
        <v>4562.5218181818182</v>
      </c>
      <c r="F103" s="14"/>
      <c r="G103" s="97"/>
    </row>
    <row r="104" spans="1:7">
      <c r="A104" s="346" t="s">
        <v>313</v>
      </c>
      <c r="B104" s="346"/>
      <c r="C104" s="186"/>
      <c r="D104" s="186"/>
      <c r="F104" s="14"/>
      <c r="G104" s="97"/>
    </row>
    <row r="105" spans="1:7">
      <c r="A105" s="346" t="s">
        <v>314</v>
      </c>
      <c r="B105" s="346"/>
      <c r="C105" s="186"/>
      <c r="D105" s="186"/>
      <c r="F105" s="14"/>
      <c r="G105" s="97"/>
    </row>
    <row r="106" spans="1:7">
      <c r="A106" s="346" t="s">
        <v>315</v>
      </c>
      <c r="B106" s="346"/>
      <c r="C106" s="186"/>
      <c r="D106" s="186"/>
      <c r="F106" s="14"/>
      <c r="G106" s="97"/>
    </row>
    <row r="107" spans="1:7">
      <c r="A107" s="346" t="s">
        <v>316</v>
      </c>
      <c r="B107" s="346"/>
      <c r="C107" s="186"/>
      <c r="D107" s="186"/>
      <c r="F107" s="14"/>
      <c r="G107" s="97"/>
    </row>
    <row r="108" spans="1:7">
      <c r="A108" s="346" t="s">
        <v>317</v>
      </c>
      <c r="B108" s="346"/>
      <c r="C108" s="186"/>
      <c r="D108" s="186"/>
      <c r="F108" s="14"/>
      <c r="G108" s="97"/>
    </row>
    <row r="109" spans="1:7">
      <c r="A109" s="361" t="s">
        <v>212</v>
      </c>
      <c r="B109" s="361"/>
      <c r="C109" s="361"/>
      <c r="D109" s="361"/>
      <c r="F109" s="14"/>
      <c r="G109" s="97"/>
    </row>
    <row r="110" spans="1:7">
      <c r="A110" s="381" t="s">
        <v>81</v>
      </c>
      <c r="B110" s="381"/>
      <c r="C110" s="134" t="s">
        <v>40</v>
      </c>
      <c r="D110" s="134" t="s">
        <v>41</v>
      </c>
      <c r="F110" s="14"/>
      <c r="G110" s="99"/>
    </row>
    <row r="111" spans="1:7">
      <c r="A111" s="345" t="s">
        <v>83</v>
      </c>
      <c r="B111" s="345"/>
      <c r="C111" s="144">
        <v>0</v>
      </c>
      <c r="D111" s="144">
        <v>0</v>
      </c>
      <c r="F111" s="14"/>
      <c r="G111" s="14"/>
    </row>
    <row r="112" spans="1:7">
      <c r="A112" s="345" t="s">
        <v>84</v>
      </c>
      <c r="B112" s="345"/>
      <c r="C112" s="144">
        <v>0</v>
      </c>
      <c r="D112" s="144">
        <v>0</v>
      </c>
      <c r="F112" s="14"/>
      <c r="G112" s="14"/>
    </row>
    <row r="113" spans="1:7">
      <c r="A113" s="345" t="s">
        <v>85</v>
      </c>
      <c r="B113" s="345"/>
      <c r="C113" s="144">
        <v>0</v>
      </c>
      <c r="D113" s="144">
        <v>1</v>
      </c>
      <c r="F113" s="14"/>
      <c r="G113" s="14"/>
    </row>
    <row r="114" spans="1:7">
      <c r="A114" s="345" t="s">
        <v>86</v>
      </c>
      <c r="B114" s="345"/>
      <c r="C114" s="144">
        <v>0</v>
      </c>
      <c r="D114" s="144">
        <v>0</v>
      </c>
    </row>
    <row r="115" spans="1:7">
      <c r="A115" s="345" t="s">
        <v>87</v>
      </c>
      <c r="B115" s="345"/>
      <c r="C115" s="144">
        <v>0</v>
      </c>
      <c r="D115" s="144">
        <v>2</v>
      </c>
    </row>
    <row r="116" spans="1:7">
      <c r="A116" s="345" t="s">
        <v>88</v>
      </c>
      <c r="B116" s="345"/>
      <c r="C116" s="144">
        <v>0</v>
      </c>
      <c r="D116" s="144">
        <v>0</v>
      </c>
    </row>
    <row r="117" spans="1:7">
      <c r="A117" s="345" t="s">
        <v>89</v>
      </c>
      <c r="B117" s="345"/>
      <c r="C117" s="144">
        <v>0</v>
      </c>
      <c r="D117" s="144">
        <v>0</v>
      </c>
    </row>
    <row r="118" spans="1:7">
      <c r="A118" s="345" t="s">
        <v>90</v>
      </c>
      <c r="B118" s="345"/>
      <c r="C118" s="144">
        <v>2</v>
      </c>
      <c r="D118" s="144">
        <v>3</v>
      </c>
    </row>
    <row r="119" spans="1:7">
      <c r="A119" s="345" t="s">
        <v>91</v>
      </c>
      <c r="B119" s="345"/>
      <c r="C119" s="144">
        <v>0</v>
      </c>
      <c r="D119" s="144">
        <v>3</v>
      </c>
    </row>
    <row r="120" spans="1:7">
      <c r="A120" s="345" t="s">
        <v>92</v>
      </c>
      <c r="B120" s="345"/>
      <c r="C120" s="144">
        <v>0</v>
      </c>
      <c r="D120" s="144">
        <v>3</v>
      </c>
    </row>
    <row r="121" spans="1:7">
      <c r="A121" s="345" t="s">
        <v>93</v>
      </c>
      <c r="B121" s="345"/>
      <c r="C121" s="144">
        <v>0</v>
      </c>
      <c r="D121" s="144">
        <v>4</v>
      </c>
    </row>
    <row r="122" spans="1:7">
      <c r="A122" s="345" t="s">
        <v>94</v>
      </c>
      <c r="B122" s="345"/>
      <c r="C122" s="144">
        <v>0</v>
      </c>
      <c r="D122" s="144">
        <v>2</v>
      </c>
    </row>
    <row r="123" spans="1:7">
      <c r="A123" s="345" t="s">
        <v>95</v>
      </c>
      <c r="B123" s="345"/>
      <c r="C123" s="144">
        <v>0</v>
      </c>
      <c r="D123" s="144">
        <v>1</v>
      </c>
    </row>
    <row r="124" spans="1:7">
      <c r="A124" s="345" t="s">
        <v>96</v>
      </c>
      <c r="B124" s="345"/>
      <c r="C124" s="144">
        <v>0</v>
      </c>
      <c r="D124" s="144">
        <v>2</v>
      </c>
    </row>
    <row r="125" spans="1:7">
      <c r="A125" s="345" t="s">
        <v>97</v>
      </c>
      <c r="B125" s="345"/>
      <c r="C125" s="144">
        <v>0</v>
      </c>
      <c r="D125" s="144">
        <v>0</v>
      </c>
    </row>
    <row r="126" spans="1:7">
      <c r="A126" s="347" t="s">
        <v>213</v>
      </c>
      <c r="B126" s="347"/>
      <c r="C126" s="187">
        <f>C111*C94+C112*C95+C113*C96+C114*C97+C115*C98+C116*C99+C117*C100+C118*C101+C119*C102+C120*C103+C104*C121+C105*C122+C106*C123+C107*C124+C125*C108</f>
        <v>9555.5555555555566</v>
      </c>
      <c r="D126" s="187">
        <f>D111*D94+D112*D95+D113*D96+D114*D97+D115*D98+D116*D99+D117*D100+D118*D101+D119*D102+D120*D103+D104*D121+D105*D122+D106*D123+D107*D124+D125*D108</f>
        <v>173375.8290909091</v>
      </c>
    </row>
    <row r="127" spans="1:7">
      <c r="A127" s="347" t="s">
        <v>340</v>
      </c>
      <c r="B127" s="347"/>
      <c r="C127" s="187">
        <f>C126/(SUM(C111:C125))</f>
        <v>4777.7777777777783</v>
      </c>
      <c r="D127" s="187">
        <f>D126/(SUM(D111:D125))</f>
        <v>8255.9918614718626</v>
      </c>
      <c r="E127" s="59"/>
      <c r="F127" s="71"/>
    </row>
    <row r="128" spans="1:7">
      <c r="A128" s="347" t="s">
        <v>323</v>
      </c>
      <c r="B128" s="347"/>
      <c r="C128" s="187">
        <f>C127/12</f>
        <v>398.14814814814821</v>
      </c>
      <c r="D128" s="187">
        <f>D127/12</f>
        <v>687.99932178932193</v>
      </c>
      <c r="F128" s="71"/>
    </row>
    <row r="129" spans="1:5">
      <c r="A129" s="354" t="s">
        <v>214</v>
      </c>
      <c r="B129" s="354"/>
      <c r="C129" s="354"/>
      <c r="D129" s="158">
        <f>SUM(C111:C125)*C128 + SUM(D111:D125)*D128</f>
        <v>15244.282053872055</v>
      </c>
    </row>
    <row r="130" spans="1:5">
      <c r="A130" s="354" t="s">
        <v>215</v>
      </c>
      <c r="B130" s="354"/>
      <c r="C130" s="354"/>
      <c r="D130" s="188">
        <f>D129/'Composiçaõ de dados básicos'!D3</f>
        <v>0.14310577008491426</v>
      </c>
      <c r="E130" s="86"/>
    </row>
    <row r="131" spans="1:5">
      <c r="A131" s="346"/>
      <c r="B131" s="346"/>
      <c r="C131" s="346"/>
      <c r="D131" s="346"/>
      <c r="E131" s="71"/>
    </row>
    <row r="132" spans="1:5">
      <c r="A132" s="327" t="s">
        <v>216</v>
      </c>
      <c r="B132" s="327"/>
      <c r="C132" s="327"/>
      <c r="D132" s="327"/>
    </row>
    <row r="133" spans="1:5">
      <c r="A133" s="323" t="str">
        <f>A3</f>
        <v>2.1 DESPESAS COM MOTORISTAS</v>
      </c>
      <c r="B133" s="323"/>
      <c r="C133" s="323"/>
      <c r="D133" s="161">
        <f>D9</f>
        <v>179747.68550000002</v>
      </c>
    </row>
    <row r="134" spans="1:5">
      <c r="A134" s="323" t="str">
        <f>A12</f>
        <v>2.2 DESPESAS COM FISCALIZAÇÃO</v>
      </c>
      <c r="B134" s="323"/>
      <c r="C134" s="323"/>
      <c r="D134" s="161">
        <f>D17</f>
        <v>7010.7249149999998</v>
      </c>
    </row>
    <row r="135" spans="1:5">
      <c r="A135" s="323" t="str">
        <f>A20</f>
        <v>2.3 DESPESAS COM MECÂNICO</v>
      </c>
      <c r="B135" s="323"/>
      <c r="C135" s="323"/>
      <c r="D135" s="161">
        <f>D28</f>
        <v>20129.644640999999</v>
      </c>
    </row>
    <row r="136" spans="1:5">
      <c r="A136" s="323" t="str">
        <f>A31</f>
        <v>2.4 DESPESAS COM PESSOAL ADMINISTRATIVO</v>
      </c>
      <c r="B136" s="323"/>
      <c r="C136" s="323"/>
      <c r="D136" s="161">
        <f>D37</f>
        <v>11273.567995500001</v>
      </c>
    </row>
    <row r="137" spans="1:5">
      <c r="A137" s="348" t="str">
        <f>A40</f>
        <v>2.5 DESPESAS DIVERSAS</v>
      </c>
      <c r="B137" s="323"/>
      <c r="C137" s="323"/>
      <c r="D137" s="198">
        <f>D47</f>
        <v>28961</v>
      </c>
    </row>
    <row r="138" spans="1:5">
      <c r="A138" s="348" t="str">
        <f>A50</f>
        <v>2.6 DESPESAS COM REMUNERAÇÃO DE CAPITAL</v>
      </c>
      <c r="B138" s="323"/>
      <c r="C138" s="323"/>
      <c r="D138" s="198">
        <f>D58</f>
        <v>19300</v>
      </c>
    </row>
    <row r="139" spans="1:5">
      <c r="A139" s="348" t="str">
        <f>A61</f>
        <v>2.7 DESPESAS COM SEGUROS</v>
      </c>
      <c r="B139" s="323"/>
      <c r="C139" s="323"/>
      <c r="D139" s="198">
        <f>D65</f>
        <v>824.16666666666663</v>
      </c>
    </row>
    <row r="140" spans="1:5">
      <c r="A140" s="348" t="str">
        <f>A68</f>
        <v>2.8 REPOSIÇÃO DOS ATIVOS  - VEÍCULOS</v>
      </c>
      <c r="B140" s="323"/>
      <c r="C140" s="323"/>
      <c r="D140" s="198">
        <f>D129</f>
        <v>15244.282053872055</v>
      </c>
    </row>
    <row r="141" spans="1:5">
      <c r="A141" s="351"/>
      <c r="B141" s="352"/>
      <c r="C141" s="352"/>
      <c r="D141" s="353"/>
    </row>
    <row r="142" spans="1:5">
      <c r="A142" s="348" t="s">
        <v>217</v>
      </c>
      <c r="B142" s="323"/>
      <c r="C142" s="323"/>
      <c r="D142" s="198">
        <f>SUM(D133:D140)</f>
        <v>282491.07177203876</v>
      </c>
    </row>
    <row r="143" spans="1:5">
      <c r="A143" s="348" t="s">
        <v>218</v>
      </c>
      <c r="B143" s="323"/>
      <c r="C143" s="323"/>
      <c r="D143" s="226">
        <f>D142/'Composiçaõ de dados básicos'!D3</f>
        <v>2.6518862761255551</v>
      </c>
    </row>
    <row r="144" spans="1:5" ht="15.75" thickBot="1">
      <c r="A144" s="349" t="s">
        <v>219</v>
      </c>
      <c r="B144" s="350"/>
      <c r="C144" s="350"/>
      <c r="D144" s="227">
        <f>D142*12</f>
        <v>3389892.8612644654</v>
      </c>
    </row>
  </sheetData>
  <mergeCells count="144">
    <mergeCell ref="A22:C22"/>
    <mergeCell ref="A26:C26"/>
    <mergeCell ref="A24:C24"/>
    <mergeCell ref="A48:C48"/>
    <mergeCell ref="A49:D49"/>
    <mergeCell ref="A50:D50"/>
    <mergeCell ref="A51:C51"/>
    <mergeCell ref="A73:B73"/>
    <mergeCell ref="A68:D68"/>
    <mergeCell ref="A69:B69"/>
    <mergeCell ref="A70:B70"/>
    <mergeCell ref="A71:B71"/>
    <mergeCell ref="A72:B72"/>
    <mergeCell ref="A46:C46"/>
    <mergeCell ref="A41:C41"/>
    <mergeCell ref="A52:C52"/>
    <mergeCell ref="A53:C53"/>
    <mergeCell ref="A45:C45"/>
    <mergeCell ref="A47:C47"/>
    <mergeCell ref="A54:C54"/>
    <mergeCell ref="A55:C55"/>
    <mergeCell ref="A56:C56"/>
    <mergeCell ref="A58:C58"/>
    <mergeCell ref="A59:C59"/>
    <mergeCell ref="A74:B74"/>
    <mergeCell ref="A23:C23"/>
    <mergeCell ref="A25:C25"/>
    <mergeCell ref="A27:C27"/>
    <mergeCell ref="A34:C34"/>
    <mergeCell ref="A35:C35"/>
    <mergeCell ref="A36:C36"/>
    <mergeCell ref="A37:C37"/>
    <mergeCell ref="A38:C38"/>
    <mergeCell ref="A39:D39"/>
    <mergeCell ref="A28:C28"/>
    <mergeCell ref="A29:C29"/>
    <mergeCell ref="A30:D30"/>
    <mergeCell ref="A31:D31"/>
    <mergeCell ref="A32:C32"/>
    <mergeCell ref="A33:C33"/>
    <mergeCell ref="A40:D40"/>
    <mergeCell ref="A61:D61"/>
    <mergeCell ref="A62:C62"/>
    <mergeCell ref="A63:C63"/>
    <mergeCell ref="A64:C64"/>
    <mergeCell ref="A65:C65"/>
    <mergeCell ref="A43:C43"/>
    <mergeCell ref="A44:C44"/>
    <mergeCell ref="A93:D93"/>
    <mergeCell ref="A125:B125"/>
    <mergeCell ref="A94:B94"/>
    <mergeCell ref="A95:B95"/>
    <mergeCell ref="A96:B96"/>
    <mergeCell ref="A97:B97"/>
    <mergeCell ref="A117:B117"/>
    <mergeCell ref="A118:B118"/>
    <mergeCell ref="A119:B119"/>
    <mergeCell ref="A120:B120"/>
    <mergeCell ref="A111:B111"/>
    <mergeCell ref="A98:B98"/>
    <mergeCell ref="A99:B99"/>
    <mergeCell ref="A100:B100"/>
    <mergeCell ref="A101:B101"/>
    <mergeCell ref="A102:B102"/>
    <mergeCell ref="A103:B103"/>
    <mergeCell ref="A109:D109"/>
    <mergeCell ref="A110:B110"/>
    <mergeCell ref="A121:B121"/>
    <mergeCell ref="A122:B122"/>
    <mergeCell ref="A123:B123"/>
    <mergeCell ref="A124:B124"/>
    <mergeCell ref="A112:B112"/>
    <mergeCell ref="A1:B1"/>
    <mergeCell ref="C1:D1"/>
    <mergeCell ref="A2:D2"/>
    <mergeCell ref="A3:D3"/>
    <mergeCell ref="A4:C4"/>
    <mergeCell ref="A5:C5"/>
    <mergeCell ref="A19:D19"/>
    <mergeCell ref="A20:D20"/>
    <mergeCell ref="A21:C21"/>
    <mergeCell ref="A13:C13"/>
    <mergeCell ref="A14:C14"/>
    <mergeCell ref="A15:C15"/>
    <mergeCell ref="A7:C7"/>
    <mergeCell ref="A8:C8"/>
    <mergeCell ref="A9:C9"/>
    <mergeCell ref="A10:C10"/>
    <mergeCell ref="A11:D11"/>
    <mergeCell ref="A12:D12"/>
    <mergeCell ref="A16:C16"/>
    <mergeCell ref="A17:C17"/>
    <mergeCell ref="A18:C18"/>
    <mergeCell ref="A6:C6"/>
    <mergeCell ref="A42:C42"/>
    <mergeCell ref="A57:C57"/>
    <mergeCell ref="A131:D131"/>
    <mergeCell ref="A67:D67"/>
    <mergeCell ref="A66:C66"/>
    <mergeCell ref="A81:B81"/>
    <mergeCell ref="A82:B82"/>
    <mergeCell ref="A83:B83"/>
    <mergeCell ref="A84:B84"/>
    <mergeCell ref="A85:B85"/>
    <mergeCell ref="A86:B86"/>
    <mergeCell ref="A75:D75"/>
    <mergeCell ref="A76:D76"/>
    <mergeCell ref="A77:B77"/>
    <mergeCell ref="A78:B78"/>
    <mergeCell ref="A79:B79"/>
    <mergeCell ref="A80:B80"/>
    <mergeCell ref="A87:B87"/>
    <mergeCell ref="A88:B88"/>
    <mergeCell ref="A89:B89"/>
    <mergeCell ref="A90:B90"/>
    <mergeCell ref="A91:B91"/>
    <mergeCell ref="A92:D92"/>
    <mergeCell ref="A104:B104"/>
    <mergeCell ref="A127:B127"/>
    <mergeCell ref="A128:B128"/>
    <mergeCell ref="A143:C143"/>
    <mergeCell ref="A144:C144"/>
    <mergeCell ref="A134:C134"/>
    <mergeCell ref="A135:C135"/>
    <mergeCell ref="A136:C136"/>
    <mergeCell ref="A137:C137"/>
    <mergeCell ref="A138:C138"/>
    <mergeCell ref="A139:C139"/>
    <mergeCell ref="A132:D132"/>
    <mergeCell ref="A133:C133"/>
    <mergeCell ref="A140:C140"/>
    <mergeCell ref="A141:D141"/>
    <mergeCell ref="A142:C142"/>
    <mergeCell ref="A130:C130"/>
    <mergeCell ref="A129:C129"/>
    <mergeCell ref="A113:B113"/>
    <mergeCell ref="A114:B114"/>
    <mergeCell ref="A115:B115"/>
    <mergeCell ref="A116:B116"/>
    <mergeCell ref="A105:B105"/>
    <mergeCell ref="A126:B126"/>
    <mergeCell ref="A106:B106"/>
    <mergeCell ref="A107:B107"/>
    <mergeCell ref="A108:B10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topLeftCell="A37" workbookViewId="0">
      <selection activeCell="J35" sqref="J35"/>
    </sheetView>
  </sheetViews>
  <sheetFormatPr defaultRowHeight="15"/>
  <cols>
    <col min="1" max="1" width="7.85546875" customWidth="1"/>
    <col min="2" max="2" width="65.140625" customWidth="1"/>
    <col min="3" max="3" width="59.85546875" customWidth="1"/>
    <col min="4" max="4" width="30.85546875" style="60" customWidth="1"/>
  </cols>
  <sheetData>
    <row r="1" spans="1:4" ht="103.5" customHeight="1" thickBot="1">
      <c r="A1" s="396"/>
      <c r="B1" s="397"/>
      <c r="C1" s="398" t="s">
        <v>163</v>
      </c>
      <c r="D1" s="399"/>
    </row>
    <row r="2" spans="1:4" ht="15.75" thickBot="1">
      <c r="A2" s="122"/>
      <c r="B2" s="123"/>
      <c r="C2" s="123" t="s">
        <v>368</v>
      </c>
      <c r="D2" s="124" t="s">
        <v>378</v>
      </c>
    </row>
    <row r="3" spans="1:4" ht="15.75" thickBot="1">
      <c r="A3" s="116" t="s">
        <v>338</v>
      </c>
      <c r="B3" s="117"/>
      <c r="C3" s="118"/>
      <c r="D3" s="119"/>
    </row>
    <row r="4" spans="1:4">
      <c r="A4" s="108"/>
      <c r="B4" s="102" t="s">
        <v>269</v>
      </c>
      <c r="C4" s="103">
        <f>'Custo Variável '!C61:D61</f>
        <v>97210.27967686078</v>
      </c>
      <c r="D4" s="111">
        <f>C4/$C$35</f>
        <v>0.20885595418132216</v>
      </c>
    </row>
    <row r="5" spans="1:4">
      <c r="A5" s="108"/>
      <c r="B5" s="102" t="s">
        <v>365</v>
      </c>
      <c r="C5" s="103">
        <f>'Custo Variável '!C62+'Custo Variável '!D62</f>
        <v>1782.2543538430957</v>
      </c>
      <c r="D5" s="111">
        <f t="shared" ref="D5:D8" si="0">C5/$C$35</f>
        <v>3.8291673977594726E-3</v>
      </c>
    </row>
    <row r="6" spans="1:4">
      <c r="A6" s="108"/>
      <c r="B6" s="102" t="s">
        <v>366</v>
      </c>
      <c r="C6" s="103">
        <f>'Custo Variável '!C63+'Custo Variável '!D63</f>
        <v>8625.2133006153854</v>
      </c>
      <c r="D6" s="111">
        <f t="shared" si="0"/>
        <v>1.853124134510906E-2</v>
      </c>
    </row>
    <row r="7" spans="1:4" ht="15.75" thickBot="1">
      <c r="A7" s="108"/>
      <c r="B7" s="102" t="s">
        <v>367</v>
      </c>
      <c r="C7" s="103">
        <f>'Custo Variável '!C64+'Custo Variável '!D64</f>
        <v>23066.275938461538</v>
      </c>
      <c r="D7" s="111">
        <f t="shared" si="0"/>
        <v>4.9557815146208099E-2</v>
      </c>
    </row>
    <row r="8" spans="1:4" ht="15.75" thickBot="1">
      <c r="A8" s="108"/>
      <c r="B8" s="120" t="s">
        <v>242</v>
      </c>
      <c r="C8" s="121">
        <f>SUM(C4:C7)</f>
        <v>130684.0232697808</v>
      </c>
      <c r="D8" s="119">
        <f t="shared" si="0"/>
        <v>0.28077417807039878</v>
      </c>
    </row>
    <row r="9" spans="1:4" ht="15.75" thickBot="1">
      <c r="A9" s="108"/>
      <c r="B9" s="101"/>
      <c r="C9" s="101"/>
      <c r="D9" s="111"/>
    </row>
    <row r="10" spans="1:4" ht="15.75" thickBot="1">
      <c r="A10" s="116" t="s">
        <v>3</v>
      </c>
      <c r="B10" s="117"/>
      <c r="C10" s="118"/>
      <c r="D10" s="119"/>
    </row>
    <row r="11" spans="1:4">
      <c r="A11" s="108"/>
      <c r="B11" s="102" t="s">
        <v>369</v>
      </c>
      <c r="C11" s="125">
        <f>'Custo Fixo'!D133</f>
        <v>179747.68550000002</v>
      </c>
      <c r="D11" s="111">
        <f>C11/$C$35</f>
        <v>0.38618728895523158</v>
      </c>
    </row>
    <row r="12" spans="1:4">
      <c r="A12" s="108"/>
      <c r="B12" s="102" t="s">
        <v>370</v>
      </c>
      <c r="C12" s="125">
        <f>'Custo Fixo'!D134</f>
        <v>7010.7249149999998</v>
      </c>
      <c r="D12" s="111">
        <f t="shared" ref="D12:D21" si="1">C12/$C$35</f>
        <v>1.506251855762975E-2</v>
      </c>
    </row>
    <row r="13" spans="1:4">
      <c r="A13" s="108"/>
      <c r="B13" s="102" t="s">
        <v>371</v>
      </c>
      <c r="C13" s="125">
        <f>'Custo Fixo'!D135</f>
        <v>20129.644640999999</v>
      </c>
      <c r="D13" s="111">
        <f t="shared" si="1"/>
        <v>4.3248472824090937E-2</v>
      </c>
    </row>
    <row r="14" spans="1:4">
      <c r="A14" s="108"/>
      <c r="B14" s="102" t="s">
        <v>372</v>
      </c>
      <c r="C14" s="125">
        <f>'Custo Fixo'!D136</f>
        <v>11273.567995500001</v>
      </c>
      <c r="D14" s="111">
        <f t="shared" si="1"/>
        <v>2.4221222370257499E-2</v>
      </c>
    </row>
    <row r="15" spans="1:4">
      <c r="A15" s="108"/>
      <c r="B15" s="102" t="s">
        <v>373</v>
      </c>
      <c r="C15" s="125">
        <f>'Custo Fixo'!D137</f>
        <v>28961</v>
      </c>
      <c r="D15" s="111">
        <f t="shared" si="1"/>
        <v>6.2222609678233995E-2</v>
      </c>
    </row>
    <row r="16" spans="1:4">
      <c r="A16" s="108"/>
      <c r="B16" s="102" t="s">
        <v>374</v>
      </c>
      <c r="C16" s="125">
        <f>'Custo Fixo'!D138</f>
        <v>19300</v>
      </c>
      <c r="D16" s="111">
        <f>C16/$C$35</f>
        <v>4.1465984143845724E-2</v>
      </c>
    </row>
    <row r="17" spans="1:4">
      <c r="A17" s="108"/>
      <c r="B17" s="102" t="s">
        <v>375</v>
      </c>
      <c r="C17" s="125">
        <f>'Custo Fixo'!D139</f>
        <v>824.16666666666663</v>
      </c>
      <c r="D17" s="111">
        <f t="shared" si="1"/>
        <v>1.7707192710821858E-3</v>
      </c>
    </row>
    <row r="18" spans="1:4" ht="15.75" thickBot="1">
      <c r="A18" s="108"/>
      <c r="B18" s="102" t="s">
        <v>376</v>
      </c>
      <c r="C18" s="125">
        <f>'Custo Fixo'!D140</f>
        <v>15244.282053872055</v>
      </c>
      <c r="D18" s="111">
        <f t="shared" si="1"/>
        <v>3.2752287975656512E-2</v>
      </c>
    </row>
    <row r="19" spans="1:4" ht="15.75" thickBot="1">
      <c r="A19" s="108"/>
      <c r="B19" s="120" t="s">
        <v>242</v>
      </c>
      <c r="C19" s="121">
        <f>SUM(C11:C18)</f>
        <v>282491.07177203876</v>
      </c>
      <c r="D19" s="119">
        <f t="shared" si="1"/>
        <v>0.60693110377602821</v>
      </c>
    </row>
    <row r="20" spans="1:4" ht="15.75" thickBot="1">
      <c r="A20" s="108"/>
      <c r="B20" s="102"/>
      <c r="C20" s="102"/>
      <c r="D20" s="111"/>
    </row>
    <row r="21" spans="1:4" ht="15.75" thickBot="1">
      <c r="A21" s="116" t="s">
        <v>377</v>
      </c>
      <c r="B21" s="117"/>
      <c r="C21" s="118">
        <f>C19+C8</f>
        <v>413175.09504181956</v>
      </c>
      <c r="D21" s="119">
        <f t="shared" si="1"/>
        <v>0.88770528184642705</v>
      </c>
    </row>
    <row r="22" spans="1:4" ht="15.75" thickBot="1">
      <c r="A22" s="108"/>
      <c r="B22" s="101"/>
      <c r="C22" s="101"/>
      <c r="D22" s="111"/>
    </row>
    <row r="23" spans="1:4">
      <c r="A23" s="105" t="s">
        <v>290</v>
      </c>
      <c r="B23" s="106"/>
      <c r="C23" s="106"/>
      <c r="D23" s="107"/>
    </row>
    <row r="24" spans="1:4">
      <c r="A24" s="108"/>
      <c r="B24" s="100" t="s">
        <v>26</v>
      </c>
      <c r="C24" s="104">
        <v>6.4999999999999997E-3</v>
      </c>
      <c r="D24" s="109">
        <f>$C$21*C24</f>
        <v>2685.6381177718272</v>
      </c>
    </row>
    <row r="25" spans="1:4">
      <c r="A25" s="108"/>
      <c r="B25" s="100" t="s">
        <v>358</v>
      </c>
      <c r="C25" s="273">
        <v>0.03</v>
      </c>
      <c r="D25" s="109">
        <f>$C$21*C25</f>
        <v>12395.252851254587</v>
      </c>
    </row>
    <row r="26" spans="1:4">
      <c r="A26" s="108"/>
      <c r="B26" s="100" t="s">
        <v>241</v>
      </c>
      <c r="C26" s="273">
        <v>0.03</v>
      </c>
      <c r="D26" s="109">
        <f>$C$21*C26</f>
        <v>12395.252851254587</v>
      </c>
    </row>
    <row r="27" spans="1:4">
      <c r="A27" s="108"/>
      <c r="B27" s="100" t="s">
        <v>387</v>
      </c>
      <c r="C27" s="273">
        <v>0</v>
      </c>
      <c r="D27" s="109">
        <f>$C$21*C27</f>
        <v>0</v>
      </c>
    </row>
    <row r="28" spans="1:4">
      <c r="B28" s="110" t="s">
        <v>292</v>
      </c>
      <c r="C28" s="274"/>
      <c r="D28" s="111"/>
    </row>
    <row r="29" spans="1:4">
      <c r="A29" s="108"/>
      <c r="B29" s="100" t="s">
        <v>245</v>
      </c>
      <c r="C29" s="273">
        <v>0.06</v>
      </c>
      <c r="D29" s="109">
        <f>$C$21*C29</f>
        <v>24790.505702509174</v>
      </c>
    </row>
    <row r="30" spans="1:4">
      <c r="A30" s="108"/>
      <c r="B30" s="100" t="s">
        <v>293</v>
      </c>
      <c r="C30" s="273">
        <v>0.09</v>
      </c>
      <c r="D30" s="109">
        <f>D29*C30</f>
        <v>2231.1455132258257</v>
      </c>
    </row>
    <row r="31" spans="1:4" ht="15.75" thickBot="1">
      <c r="A31" s="112"/>
      <c r="B31" s="113" t="s">
        <v>294</v>
      </c>
      <c r="C31" s="114">
        <v>0.15</v>
      </c>
      <c r="D31" s="115">
        <f>D29*C31</f>
        <v>3718.5758553763758</v>
      </c>
    </row>
    <row r="32" spans="1:4" ht="15.75" thickBot="1">
      <c r="A32" s="126"/>
      <c r="B32" s="82"/>
      <c r="C32" s="82"/>
      <c r="D32" s="127"/>
    </row>
    <row r="33" spans="1:6" ht="15.75" thickBot="1">
      <c r="A33" s="116" t="s">
        <v>296</v>
      </c>
      <c r="B33" s="117"/>
      <c r="C33" s="118">
        <f>D29+D24+D25+D26+D27</f>
        <v>52266.649522790176</v>
      </c>
      <c r="D33" s="119">
        <f t="shared" ref="D33" si="2">C33/$C$35</f>
        <v>0.11229471815357302</v>
      </c>
    </row>
    <row r="34" spans="1:6" ht="15.75" thickBot="1">
      <c r="A34" s="126"/>
      <c r="B34" s="82"/>
      <c r="C34" s="82"/>
      <c r="D34" s="127"/>
    </row>
    <row r="35" spans="1:6" ht="15.75" thickBot="1">
      <c r="A35" s="116" t="s">
        <v>242</v>
      </c>
      <c r="B35" s="117"/>
      <c r="C35" s="118">
        <f>C33+C21</f>
        <v>465441.74456460972</v>
      </c>
      <c r="D35" s="119">
        <f t="shared" ref="D35" si="3">C35/$C$35</f>
        <v>1</v>
      </c>
      <c r="F35" s="98"/>
    </row>
    <row r="36" spans="1:6">
      <c r="A36" s="101"/>
      <c r="B36" s="101"/>
      <c r="C36" s="101"/>
    </row>
    <row r="37" spans="1:6">
      <c r="A37" s="101"/>
      <c r="B37" s="101"/>
      <c r="C37" s="101"/>
    </row>
    <row r="38" spans="1:6">
      <c r="A38" s="101"/>
      <c r="B38" s="101"/>
      <c r="C38" s="101"/>
    </row>
  </sheetData>
  <mergeCells count="2">
    <mergeCell ref="A1:B1"/>
    <mergeCell ref="C1:D1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1064"/>
  <sheetViews>
    <sheetView topLeftCell="A43" workbookViewId="0">
      <selection activeCell="C20" activeCellId="1" sqref="D13 C20"/>
    </sheetView>
  </sheetViews>
  <sheetFormatPr defaultRowHeight="15"/>
  <cols>
    <col min="1" max="4" width="26.140625" customWidth="1"/>
    <col min="5" max="83" width="9.140625" style="2"/>
  </cols>
  <sheetData>
    <row r="1" spans="1:4" ht="88.5" customHeight="1">
      <c r="A1" s="342"/>
      <c r="B1" s="343"/>
      <c r="C1" s="278" t="s">
        <v>163</v>
      </c>
      <c r="D1" s="280"/>
    </row>
    <row r="2" spans="1:4">
      <c r="A2" s="400" t="s">
        <v>220</v>
      </c>
      <c r="B2" s="400"/>
      <c r="C2" s="400"/>
      <c r="D2" s="400"/>
    </row>
    <row r="3" spans="1:4">
      <c r="A3" s="178" t="s">
        <v>221</v>
      </c>
      <c r="B3" s="178" t="s">
        <v>222</v>
      </c>
      <c r="C3" s="178" t="s">
        <v>223</v>
      </c>
      <c r="D3" s="261" t="s">
        <v>224</v>
      </c>
    </row>
    <row r="4" spans="1:4">
      <c r="A4" s="190">
        <v>1</v>
      </c>
      <c r="B4" s="191" t="s">
        <v>225</v>
      </c>
      <c r="C4" s="178" t="s">
        <v>226</v>
      </c>
      <c r="D4" s="141">
        <v>300</v>
      </c>
    </row>
    <row r="5" spans="1:4">
      <c r="A5" s="190">
        <v>2</v>
      </c>
      <c r="B5" s="191" t="s">
        <v>227</v>
      </c>
      <c r="C5" s="178" t="s">
        <v>228</v>
      </c>
      <c r="D5" s="141">
        <v>100</v>
      </c>
    </row>
    <row r="6" spans="1:4">
      <c r="A6" s="190">
        <v>3</v>
      </c>
      <c r="B6" s="191" t="s">
        <v>229</v>
      </c>
      <c r="C6" s="178" t="s">
        <v>230</v>
      </c>
      <c r="D6" s="141">
        <v>20</v>
      </c>
    </row>
    <row r="7" spans="1:4">
      <c r="A7" s="403" t="s">
        <v>59</v>
      </c>
      <c r="B7" s="403"/>
      <c r="C7" s="403"/>
      <c r="D7" s="141">
        <f>SUM(D4:D6)</f>
        <v>420</v>
      </c>
    </row>
    <row r="8" spans="1:4">
      <c r="A8" s="405" t="s">
        <v>231</v>
      </c>
      <c r="B8" s="406"/>
      <c r="C8" s="406"/>
      <c r="D8" s="407"/>
    </row>
    <row r="9" spans="1:4">
      <c r="A9" s="190">
        <v>4</v>
      </c>
      <c r="B9" s="191" t="s">
        <v>232</v>
      </c>
      <c r="C9" s="178">
        <v>23</v>
      </c>
      <c r="D9" s="192">
        <f>D7*C9</f>
        <v>9660</v>
      </c>
    </row>
    <row r="10" spans="1:4">
      <c r="A10" s="189"/>
      <c r="B10" s="189"/>
      <c r="C10" s="189"/>
      <c r="D10" s="189"/>
    </row>
    <row r="11" spans="1:4">
      <c r="A11" s="400" t="s">
        <v>233</v>
      </c>
      <c r="B11" s="400"/>
      <c r="C11" s="400"/>
      <c r="D11" s="400"/>
    </row>
    <row r="12" spans="1:4">
      <c r="A12" s="178" t="s">
        <v>221</v>
      </c>
      <c r="B12" s="178" t="s">
        <v>222</v>
      </c>
      <c r="C12" s="178" t="s">
        <v>223</v>
      </c>
      <c r="D12" s="178" t="s">
        <v>224</v>
      </c>
    </row>
    <row r="13" spans="1:4">
      <c r="A13" s="190">
        <v>5</v>
      </c>
      <c r="B13" s="191" t="s">
        <v>234</v>
      </c>
      <c r="C13" s="178" t="s">
        <v>230</v>
      </c>
      <c r="D13" s="141">
        <v>15</v>
      </c>
    </row>
    <row r="14" spans="1:4">
      <c r="A14" s="403" t="s">
        <v>59</v>
      </c>
      <c r="B14" s="403"/>
      <c r="C14" s="403"/>
      <c r="D14" s="192">
        <f>SUM(D13:D13)</f>
        <v>15</v>
      </c>
    </row>
    <row r="15" spans="1:4">
      <c r="A15" s="400" t="s">
        <v>235</v>
      </c>
      <c r="B15" s="400"/>
      <c r="C15" s="400"/>
      <c r="D15" s="400"/>
    </row>
    <row r="16" spans="1:4">
      <c r="A16" s="190">
        <v>6</v>
      </c>
      <c r="B16" s="191" t="s">
        <v>236</v>
      </c>
      <c r="C16" s="178">
        <v>15</v>
      </c>
      <c r="D16" s="192">
        <f>D14*C16</f>
        <v>225</v>
      </c>
    </row>
    <row r="17" spans="1:4">
      <c r="A17" s="189"/>
      <c r="B17" s="189"/>
      <c r="C17" s="189"/>
      <c r="D17" s="189"/>
    </row>
    <row r="18" spans="1:4">
      <c r="A18" s="400" t="s">
        <v>382</v>
      </c>
      <c r="B18" s="400"/>
      <c r="C18" s="400"/>
      <c r="D18" s="400"/>
    </row>
    <row r="19" spans="1:4">
      <c r="A19" s="178" t="s">
        <v>221</v>
      </c>
      <c r="B19" s="178" t="s">
        <v>222</v>
      </c>
      <c r="C19" s="178" t="s">
        <v>384</v>
      </c>
      <c r="D19" s="178" t="s">
        <v>224</v>
      </c>
    </row>
    <row r="20" spans="1:4">
      <c r="A20" s="190">
        <v>7</v>
      </c>
      <c r="B20" s="191" t="s">
        <v>383</v>
      </c>
      <c r="C20" s="275">
        <v>600</v>
      </c>
      <c r="D20" s="192">
        <f>C20*2</f>
        <v>1200</v>
      </c>
    </row>
    <row r="21" spans="1:4">
      <c r="A21" s="189"/>
      <c r="B21" s="189"/>
      <c r="C21" s="189"/>
      <c r="D21" s="189"/>
    </row>
    <row r="22" spans="1:4">
      <c r="A22" s="400" t="s">
        <v>381</v>
      </c>
      <c r="B22" s="400"/>
      <c r="C22" s="400"/>
      <c r="D22" s="400"/>
    </row>
    <row r="23" spans="1:4">
      <c r="A23" s="144">
        <v>8</v>
      </c>
      <c r="B23" s="404" t="s">
        <v>237</v>
      </c>
      <c r="C23" s="404"/>
      <c r="D23" s="141">
        <f>D16+D9+D20</f>
        <v>11085</v>
      </c>
    </row>
    <row r="24" spans="1:4">
      <c r="A24" s="144">
        <v>9</v>
      </c>
      <c r="B24" s="404" t="s">
        <v>238</v>
      </c>
      <c r="C24" s="404"/>
      <c r="D24" s="141">
        <f>D23*12</f>
        <v>133020</v>
      </c>
    </row>
    <row r="25" spans="1:4">
      <c r="A25" s="189"/>
      <c r="B25" s="189"/>
      <c r="C25" s="189"/>
      <c r="D25" s="189"/>
    </row>
    <row r="26" spans="1:4">
      <c r="A26" s="405" t="s">
        <v>239</v>
      </c>
      <c r="B26" s="406"/>
      <c r="C26" s="406"/>
      <c r="D26" s="407"/>
    </row>
    <row r="27" spans="1:4">
      <c r="A27" s="193" t="s">
        <v>26</v>
      </c>
      <c r="B27" s="194">
        <v>6.4999999999999997E-3</v>
      </c>
      <c r="C27" s="161"/>
      <c r="D27" s="141">
        <f>$D$23*B27</f>
        <v>72.052499999999995</v>
      </c>
    </row>
    <row r="28" spans="1:4">
      <c r="A28" s="193" t="s">
        <v>240</v>
      </c>
      <c r="B28" s="194">
        <v>0.03</v>
      </c>
      <c r="C28" s="161"/>
      <c r="D28" s="141">
        <f t="shared" ref="D28:D29" si="0">$D$23*B28</f>
        <v>332.55</v>
      </c>
    </row>
    <row r="29" spans="1:4">
      <c r="A29" s="193" t="s">
        <v>241</v>
      </c>
      <c r="B29" s="194">
        <v>0.03</v>
      </c>
      <c r="C29" s="161"/>
      <c r="D29" s="141">
        <f t="shared" si="0"/>
        <v>332.55</v>
      </c>
    </row>
    <row r="30" spans="1:4">
      <c r="A30" s="193" t="s">
        <v>242</v>
      </c>
      <c r="B30" s="195">
        <f>SUM(B27:B29)</f>
        <v>6.6500000000000004E-2</v>
      </c>
      <c r="C30" s="161"/>
      <c r="D30" s="141">
        <f>SUM(D27:D29)</f>
        <v>737.15250000000003</v>
      </c>
    </row>
    <row r="31" spans="1:4">
      <c r="A31" s="189"/>
      <c r="B31" s="189"/>
      <c r="C31" s="189"/>
      <c r="D31" s="189"/>
    </row>
    <row r="32" spans="1:4">
      <c r="A32" s="400" t="s">
        <v>243</v>
      </c>
      <c r="B32" s="400"/>
      <c r="C32" s="400"/>
      <c r="D32" s="400"/>
    </row>
    <row r="33" spans="1:4">
      <c r="A33" s="196">
        <v>9</v>
      </c>
      <c r="B33" s="401" t="s">
        <v>237</v>
      </c>
      <c r="C33" s="402"/>
      <c r="D33" s="197">
        <f>D23-D30</f>
        <v>10347.8475</v>
      </c>
    </row>
    <row r="34" spans="1:4">
      <c r="A34" s="196">
        <v>10</v>
      </c>
      <c r="B34" s="401" t="s">
        <v>238</v>
      </c>
      <c r="C34" s="402"/>
      <c r="D34" s="197">
        <f>D33*12</f>
        <v>124174.17</v>
      </c>
    </row>
    <row r="35" spans="1:4" s="2" customFormat="1"/>
    <row r="36" spans="1:4" s="2" customFormat="1"/>
    <row r="37" spans="1:4" s="2" customFormat="1"/>
    <row r="38" spans="1:4" s="2" customFormat="1"/>
    <row r="39" spans="1:4" s="2" customFormat="1"/>
    <row r="40" spans="1:4" s="2" customFormat="1"/>
    <row r="41" spans="1:4" s="2" customFormat="1"/>
    <row r="42" spans="1:4" s="2" customFormat="1"/>
    <row r="43" spans="1:4" s="2" customFormat="1"/>
    <row r="44" spans="1:4" s="2" customFormat="1"/>
    <row r="45" spans="1:4" s="2" customFormat="1"/>
    <row r="46" spans="1:4" s="2" customFormat="1"/>
    <row r="47" spans="1:4" s="2" customFormat="1"/>
    <row r="48" spans="1:4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</sheetData>
  <mergeCells count="16">
    <mergeCell ref="A11:D11"/>
    <mergeCell ref="A1:B1"/>
    <mergeCell ref="C1:D1"/>
    <mergeCell ref="A2:D2"/>
    <mergeCell ref="A7:C7"/>
    <mergeCell ref="A8:D8"/>
    <mergeCell ref="A32:D32"/>
    <mergeCell ref="B33:C33"/>
    <mergeCell ref="B34:C34"/>
    <mergeCell ref="A14:C14"/>
    <mergeCell ref="A15:D15"/>
    <mergeCell ref="A22:D22"/>
    <mergeCell ref="B23:C23"/>
    <mergeCell ref="B24:C24"/>
    <mergeCell ref="A26:D26"/>
    <mergeCell ref="A18:D18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494"/>
  <sheetViews>
    <sheetView workbookViewId="0">
      <selection activeCell="D37" sqref="D37"/>
    </sheetView>
  </sheetViews>
  <sheetFormatPr defaultRowHeight="15"/>
  <cols>
    <col min="1" max="1" width="25" bestFit="1" customWidth="1"/>
    <col min="2" max="2" width="7.140625" bestFit="1" customWidth="1"/>
    <col min="3" max="3" width="24.5703125" customWidth="1"/>
    <col min="4" max="4" width="14.28515625" bestFit="1" customWidth="1"/>
    <col min="5" max="5" width="9.140625" style="2"/>
    <col min="6" max="6" width="14.28515625" style="2" bestFit="1" customWidth="1"/>
    <col min="7" max="43" width="9.140625" style="2"/>
  </cols>
  <sheetData>
    <row r="1" spans="1:7" ht="95.25" customHeight="1">
      <c r="A1" s="411"/>
      <c r="B1" s="412"/>
      <c r="C1" s="413" t="s">
        <v>0</v>
      </c>
      <c r="D1" s="414"/>
    </row>
    <row r="2" spans="1:7">
      <c r="A2" s="415" t="s">
        <v>244</v>
      </c>
      <c r="B2" s="416"/>
      <c r="C2" s="416"/>
      <c r="D2" s="417"/>
    </row>
    <row r="3" spans="1:7">
      <c r="A3" s="348" t="s">
        <v>295</v>
      </c>
      <c r="B3" s="323"/>
      <c r="C3" s="323"/>
      <c r="D3" s="198">
        <f>'Custo Variável '!D69+'Custo Fixo'!D142</f>
        <v>413175.09504181956</v>
      </c>
      <c r="F3" s="71"/>
    </row>
    <row r="4" spans="1:7">
      <c r="A4" s="348" t="s">
        <v>335</v>
      </c>
      <c r="B4" s="323"/>
      <c r="C4" s="323"/>
      <c r="D4" s="198">
        <f>'Receitas Acessórias'!D33</f>
        <v>10347.8475</v>
      </c>
      <c r="F4" s="71"/>
    </row>
    <row r="5" spans="1:7">
      <c r="A5" s="421" t="s">
        <v>307</v>
      </c>
      <c r="B5" s="338"/>
      <c r="C5" s="320"/>
      <c r="D5" s="199">
        <f>D3/D32</f>
        <v>0.86467790747946394</v>
      </c>
      <c r="F5" s="71"/>
    </row>
    <row r="6" spans="1:7">
      <c r="A6" s="348" t="s">
        <v>300</v>
      </c>
      <c r="B6" s="323"/>
      <c r="C6" s="323"/>
      <c r="D6" s="198">
        <f>D3/'Composiçaõ de dados básicos'!D$3</f>
        <v>3.8786831644097499</v>
      </c>
      <c r="F6" s="71"/>
    </row>
    <row r="7" spans="1:7">
      <c r="A7" s="200"/>
      <c r="B7" s="201"/>
      <c r="C7" s="201"/>
      <c r="D7" s="202"/>
      <c r="F7" s="71"/>
    </row>
    <row r="8" spans="1:7">
      <c r="A8" s="418" t="s">
        <v>290</v>
      </c>
      <c r="B8" s="406"/>
      <c r="C8" s="406"/>
      <c r="D8" s="419"/>
    </row>
    <row r="9" spans="1:7">
      <c r="A9" s="418" t="s">
        <v>291</v>
      </c>
      <c r="B9" s="406"/>
      <c r="C9" s="406"/>
      <c r="D9" s="419"/>
    </row>
    <row r="10" spans="1:7">
      <c r="A10" s="203" t="s">
        <v>26</v>
      </c>
      <c r="B10" s="194">
        <v>6.4999999999999997E-3</v>
      </c>
      <c r="C10" s="161">
        <f>D10/'Composiçaõ de dados básicos'!$D$3</f>
        <v>2.5211440568663375E-2</v>
      </c>
      <c r="D10" s="198">
        <f>$D$3*B10</f>
        <v>2685.6381177718272</v>
      </c>
    </row>
    <row r="11" spans="1:7">
      <c r="A11" s="204" t="s">
        <v>358</v>
      </c>
      <c r="B11" s="194">
        <v>0.03</v>
      </c>
      <c r="C11" s="161">
        <f>D11/'Composiçaõ de dados básicos'!D$3</f>
        <v>0.1163604949322925</v>
      </c>
      <c r="D11" s="198">
        <f>$D$3*B11</f>
        <v>12395.252851254587</v>
      </c>
      <c r="G11" s="71"/>
    </row>
    <row r="12" spans="1:7">
      <c r="A12" s="204" t="s">
        <v>241</v>
      </c>
      <c r="B12" s="194">
        <v>0.03</v>
      </c>
      <c r="C12" s="161">
        <f>D12/'Composiçaõ de dados básicos'!D$3</f>
        <v>0.1163604949322925</v>
      </c>
      <c r="D12" s="198">
        <f>$D$3*B12</f>
        <v>12395.252851254587</v>
      </c>
    </row>
    <row r="13" spans="1:7">
      <c r="A13" s="205" t="s">
        <v>25</v>
      </c>
      <c r="B13" s="194">
        <v>0.03</v>
      </c>
      <c r="C13" s="161">
        <f>D13/'Composiçaõ de dados básicos'!D$3</f>
        <v>0.1163604949322925</v>
      </c>
      <c r="D13" s="198">
        <f>$D$3*B13</f>
        <v>12395.252851254587</v>
      </c>
    </row>
    <row r="14" spans="1:7">
      <c r="A14" s="206"/>
      <c r="B14" s="207"/>
      <c r="C14" s="207"/>
      <c r="D14" s="208"/>
    </row>
    <row r="15" spans="1:7">
      <c r="A15" s="418" t="s">
        <v>292</v>
      </c>
      <c r="B15" s="406"/>
      <c r="C15" s="406"/>
      <c r="D15" s="419"/>
    </row>
    <row r="16" spans="1:7">
      <c r="A16" s="203" t="s">
        <v>245</v>
      </c>
      <c r="B16" s="194">
        <v>0.06</v>
      </c>
      <c r="C16" s="161">
        <f>D16/'Composiçaõ de dados básicos'!$D$3</f>
        <v>0.232720989864585</v>
      </c>
      <c r="D16" s="198">
        <f>$D$3*B16</f>
        <v>24790.505702509174</v>
      </c>
    </row>
    <row r="17" spans="1:6">
      <c r="A17" s="204" t="s">
        <v>293</v>
      </c>
      <c r="B17" s="194">
        <v>0.09</v>
      </c>
      <c r="C17" s="161">
        <f>D17/'Composiçaõ de dados básicos'!$D$3</f>
        <v>2.0944889087812651E-2</v>
      </c>
      <c r="D17" s="198">
        <f>D16*B17</f>
        <v>2231.1455132258257</v>
      </c>
    </row>
    <row r="18" spans="1:6">
      <c r="A18" s="205" t="s">
        <v>294</v>
      </c>
      <c r="B18" s="194">
        <v>0.15</v>
      </c>
      <c r="C18" s="161">
        <f>D18/'Composiçaõ de dados básicos'!$D$3</f>
        <v>3.4908148479687748E-2</v>
      </c>
      <c r="D18" s="198">
        <f>D16*B18</f>
        <v>3718.5758553763758</v>
      </c>
    </row>
    <row r="19" spans="1:6">
      <c r="A19" s="209"/>
      <c r="B19" s="210"/>
      <c r="C19" s="210"/>
      <c r="D19" s="211"/>
    </row>
    <row r="20" spans="1:6">
      <c r="A20" s="418" t="s">
        <v>296</v>
      </c>
      <c r="B20" s="406"/>
      <c r="C20" s="407"/>
      <c r="D20" s="212">
        <f>SUM(D10:D13)+SUM(D16)</f>
        <v>64661.902374044766</v>
      </c>
    </row>
    <row r="21" spans="1:6">
      <c r="A21" s="418" t="s">
        <v>308</v>
      </c>
      <c r="B21" s="406"/>
      <c r="C21" s="407"/>
      <c r="D21" s="213">
        <f>D20/D32</f>
        <v>0.13532209252053612</v>
      </c>
    </row>
    <row r="22" spans="1:6">
      <c r="A22" s="421" t="s">
        <v>305</v>
      </c>
      <c r="B22" s="338"/>
      <c r="C22" s="320"/>
      <c r="D22" s="214">
        <f>SUM(D10:D13)</f>
        <v>39871.396671535593</v>
      </c>
    </row>
    <row r="23" spans="1:6">
      <c r="A23" s="421" t="s">
        <v>306</v>
      </c>
      <c r="B23" s="338"/>
      <c r="C23" s="320"/>
      <c r="D23" s="215">
        <f>D22/D32</f>
        <v>8.3441418071768275E-2</v>
      </c>
    </row>
    <row r="24" spans="1:6">
      <c r="A24" s="418" t="s">
        <v>309</v>
      </c>
      <c r="B24" s="406"/>
      <c r="C24" s="407"/>
      <c r="D24" s="216">
        <f>D16</f>
        <v>24790.505702509174</v>
      </c>
    </row>
    <row r="25" spans="1:6">
      <c r="A25" s="418" t="s">
        <v>310</v>
      </c>
      <c r="B25" s="406"/>
      <c r="C25" s="407"/>
      <c r="D25" s="217">
        <f>D24/D32</f>
        <v>5.1880674448767837E-2</v>
      </c>
    </row>
    <row r="26" spans="1:6">
      <c r="A26" s="218"/>
      <c r="B26" s="219"/>
      <c r="C26" s="219"/>
      <c r="D26" s="220"/>
    </row>
    <row r="27" spans="1:6">
      <c r="A27" s="420" t="s">
        <v>303</v>
      </c>
      <c r="B27" s="400"/>
      <c r="C27" s="400"/>
      <c r="D27" s="221">
        <f>D3+ SUM(D10:D13)</f>
        <v>453046.49171335518</v>
      </c>
    </row>
    <row r="28" spans="1:6">
      <c r="A28" s="418" t="s">
        <v>302</v>
      </c>
      <c r="B28" s="406"/>
      <c r="C28" s="407"/>
      <c r="D28" s="222">
        <f>D27/D32</f>
        <v>0.94811932555123224</v>
      </c>
    </row>
    <row r="29" spans="1:6">
      <c r="A29" s="420" t="s">
        <v>304</v>
      </c>
      <c r="B29" s="400"/>
      <c r="C29" s="400"/>
      <c r="D29" s="221">
        <f>D27/'Composiçaõ de dados básicos'!D$3</f>
        <v>4.2529760897752906</v>
      </c>
    </row>
    <row r="30" spans="1:6">
      <c r="A30" s="420" t="s">
        <v>301</v>
      </c>
      <c r="B30" s="400"/>
      <c r="C30" s="400"/>
      <c r="D30" s="223">
        <f>D29/D35</f>
        <v>4.1695844017404813</v>
      </c>
    </row>
    <row r="31" spans="1:6">
      <c r="A31" s="218"/>
      <c r="B31" s="219"/>
      <c r="C31" s="219"/>
      <c r="D31" s="220"/>
    </row>
    <row r="32" spans="1:6">
      <c r="A32" s="420" t="s">
        <v>297</v>
      </c>
      <c r="B32" s="400"/>
      <c r="C32" s="400"/>
      <c r="D32" s="221">
        <f>D3+D20</f>
        <v>477836.99741586432</v>
      </c>
      <c r="F32" s="71"/>
    </row>
    <row r="33" spans="1:12">
      <c r="A33" s="420" t="s">
        <v>298</v>
      </c>
      <c r="B33" s="400"/>
      <c r="C33" s="400"/>
      <c r="D33" s="221">
        <f>D32/'Composiçaõ de dados básicos'!D$3</f>
        <v>4.4856970796398761</v>
      </c>
    </row>
    <row r="34" spans="1:12">
      <c r="A34" s="218"/>
      <c r="B34" s="219"/>
      <c r="C34" s="219"/>
      <c r="D34" s="220"/>
    </row>
    <row r="35" spans="1:12">
      <c r="A35" s="418" t="s">
        <v>246</v>
      </c>
      <c r="B35" s="406"/>
      <c r="C35" s="407"/>
      <c r="D35" s="224">
        <f>'Composiçaõ de dados básicos'!D111</f>
        <v>1.02</v>
      </c>
    </row>
    <row r="36" spans="1:12">
      <c r="A36" s="418" t="s">
        <v>247</v>
      </c>
      <c r="B36" s="406"/>
      <c r="C36" s="407"/>
      <c r="D36" s="225">
        <f>D33/D35</f>
        <v>4.3977422349410551</v>
      </c>
    </row>
    <row r="37" spans="1:12" ht="15.75" thickBot="1">
      <c r="A37" s="408" t="s">
        <v>248</v>
      </c>
      <c r="B37" s="409"/>
      <c r="C37" s="410"/>
      <c r="D37" s="426">
        <f>((ROUND(D36/5,2)*5))</f>
        <v>4.4000000000000004</v>
      </c>
      <c r="G37" s="71"/>
    </row>
    <row r="38" spans="1:12" s="2" customFormat="1">
      <c r="A38" s="189"/>
      <c r="B38" s="189"/>
      <c r="C38" s="189"/>
      <c r="D38" s="189"/>
    </row>
    <row r="39" spans="1:12" s="2" customFormat="1">
      <c r="A39" s="189"/>
      <c r="B39" s="189"/>
      <c r="C39" s="189"/>
      <c r="D39" s="189"/>
    </row>
    <row r="40" spans="1:12" s="2" customFormat="1">
      <c r="A40" s="189"/>
      <c r="B40" s="189"/>
      <c r="C40" s="189"/>
      <c r="D40" s="189"/>
    </row>
    <row r="41" spans="1:12" s="2" customFormat="1">
      <c r="A41" s="189"/>
      <c r="B41" s="189"/>
      <c r="C41" s="189"/>
      <c r="D41" s="189"/>
    </row>
    <row r="42" spans="1:12" s="2" customFormat="1">
      <c r="A42" s="189"/>
      <c r="B42" s="189"/>
      <c r="C42" s="189"/>
      <c r="D42" s="189"/>
    </row>
    <row r="43" spans="1:12" s="2" customFormat="1">
      <c r="A43" s="189"/>
      <c r="B43" s="189"/>
      <c r="C43" s="189"/>
      <c r="D43" s="189"/>
    </row>
    <row r="44" spans="1:12" s="2" customFormat="1">
      <c r="A44" s="189"/>
      <c r="B44" s="189"/>
      <c r="C44" s="189"/>
      <c r="D44" s="189"/>
    </row>
    <row r="45" spans="1:12" s="2" customFormat="1">
      <c r="A45" s="189"/>
      <c r="B45" s="189"/>
      <c r="C45" s="189"/>
      <c r="D45" s="189"/>
    </row>
    <row r="46" spans="1:12" s="2" customFormat="1">
      <c r="A46" s="189"/>
      <c r="B46" s="189"/>
      <c r="C46" s="189"/>
      <c r="D46" s="189"/>
      <c r="L46" s="425" t="s">
        <v>390</v>
      </c>
    </row>
    <row r="47" spans="1:12" s="2" customFormat="1">
      <c r="A47" s="189"/>
      <c r="B47" s="189"/>
      <c r="C47" s="189"/>
      <c r="D47" s="189"/>
    </row>
    <row r="48" spans="1:12" s="2" customFormat="1">
      <c r="A48" s="189"/>
      <c r="B48" s="189"/>
      <c r="C48" s="189"/>
      <c r="D48" s="189"/>
    </row>
    <row r="49" spans="1:4" s="2" customFormat="1">
      <c r="A49" s="189"/>
      <c r="B49" s="189"/>
      <c r="C49" s="189"/>
      <c r="D49" s="189"/>
    </row>
    <row r="50" spans="1:4" s="2" customFormat="1">
      <c r="A50" s="189"/>
      <c r="B50" s="189"/>
      <c r="C50" s="189"/>
      <c r="D50" s="189"/>
    </row>
    <row r="51" spans="1:4" s="2" customFormat="1">
      <c r="A51" s="189"/>
      <c r="B51" s="189"/>
      <c r="C51" s="189"/>
      <c r="D51" s="189"/>
    </row>
    <row r="52" spans="1:4" s="2" customFormat="1">
      <c r="A52" s="189"/>
      <c r="B52" s="189"/>
      <c r="C52" s="189"/>
      <c r="D52" s="189"/>
    </row>
    <row r="53" spans="1:4" s="2" customFormat="1">
      <c r="A53" s="189"/>
      <c r="B53" s="189"/>
      <c r="C53" s="189"/>
      <c r="D53" s="189"/>
    </row>
    <row r="54" spans="1:4" s="2" customFormat="1">
      <c r="A54" s="189"/>
      <c r="B54" s="189"/>
      <c r="C54" s="189"/>
      <c r="D54" s="189"/>
    </row>
    <row r="55" spans="1:4" s="2" customFormat="1">
      <c r="A55" s="189"/>
      <c r="B55" s="189"/>
      <c r="C55" s="189"/>
      <c r="D55" s="189"/>
    </row>
    <row r="56" spans="1:4" s="2" customFormat="1">
      <c r="A56" s="189"/>
      <c r="B56" s="189"/>
      <c r="C56" s="189"/>
      <c r="D56" s="189"/>
    </row>
    <row r="57" spans="1:4" s="2" customFormat="1">
      <c r="A57" s="189"/>
      <c r="B57" s="189"/>
      <c r="C57" s="189"/>
      <c r="D57" s="189"/>
    </row>
    <row r="58" spans="1:4" s="2" customFormat="1">
      <c r="A58" s="189"/>
      <c r="B58" s="189"/>
      <c r="C58" s="189"/>
      <c r="D58" s="189"/>
    </row>
    <row r="59" spans="1:4" s="2" customFormat="1">
      <c r="A59" s="189"/>
      <c r="B59" s="189"/>
      <c r="C59" s="189"/>
      <c r="D59" s="189"/>
    </row>
    <row r="60" spans="1:4" s="2" customFormat="1">
      <c r="A60" s="189"/>
      <c r="B60" s="189"/>
      <c r="C60" s="189"/>
      <c r="D60" s="189"/>
    </row>
    <row r="61" spans="1:4" s="2" customFormat="1">
      <c r="A61" s="189"/>
      <c r="B61" s="189"/>
      <c r="C61" s="189"/>
      <c r="D61" s="189"/>
    </row>
    <row r="62" spans="1:4" s="2" customFormat="1">
      <c r="A62" s="189"/>
      <c r="B62" s="189"/>
      <c r="C62" s="189"/>
      <c r="D62" s="189"/>
    </row>
    <row r="63" spans="1:4" s="2" customFormat="1">
      <c r="A63" s="189"/>
      <c r="B63" s="189"/>
      <c r="C63" s="189"/>
      <c r="D63" s="189"/>
    </row>
    <row r="64" spans="1:4" s="2" customFormat="1">
      <c r="A64" s="189"/>
      <c r="B64" s="189"/>
      <c r="C64" s="189"/>
      <c r="D64" s="189"/>
    </row>
    <row r="65" spans="1:4" s="2" customFormat="1">
      <c r="A65" s="189"/>
      <c r="B65" s="189"/>
      <c r="C65" s="189"/>
      <c r="D65" s="189"/>
    </row>
    <row r="66" spans="1:4" s="2" customFormat="1">
      <c r="A66" s="189"/>
      <c r="B66" s="189"/>
      <c r="C66" s="189"/>
      <c r="D66" s="189"/>
    </row>
    <row r="67" spans="1:4" s="2" customFormat="1">
      <c r="A67" s="189"/>
      <c r="B67" s="189"/>
      <c r="C67" s="189"/>
      <c r="D67" s="189"/>
    </row>
    <row r="68" spans="1:4" s="2" customFormat="1">
      <c r="A68" s="189"/>
      <c r="B68" s="189"/>
      <c r="C68" s="189"/>
      <c r="D68" s="189"/>
    </row>
    <row r="69" spans="1:4" s="2" customFormat="1">
      <c r="A69" s="189"/>
      <c r="B69" s="189"/>
      <c r="C69" s="189"/>
      <c r="D69" s="189"/>
    </row>
    <row r="70" spans="1:4" s="2" customFormat="1">
      <c r="A70" s="189"/>
      <c r="B70" s="189"/>
      <c r="C70" s="189"/>
      <c r="D70" s="189"/>
    </row>
    <row r="71" spans="1:4" s="2" customFormat="1">
      <c r="A71" s="189"/>
      <c r="B71" s="189"/>
      <c r="C71" s="189"/>
      <c r="D71" s="189"/>
    </row>
    <row r="72" spans="1:4" s="2" customFormat="1">
      <c r="A72" s="189"/>
      <c r="B72" s="189"/>
      <c r="C72" s="189"/>
      <c r="D72" s="189"/>
    </row>
    <row r="73" spans="1:4" s="2" customFormat="1"/>
    <row r="74" spans="1:4" s="2" customFormat="1"/>
    <row r="75" spans="1:4" s="2" customFormat="1"/>
    <row r="76" spans="1:4" s="2" customFormat="1"/>
    <row r="77" spans="1:4" s="2" customFormat="1"/>
    <row r="78" spans="1:4" s="2" customFormat="1"/>
    <row r="79" spans="1:4" s="2" customFormat="1"/>
    <row r="80" spans="1:4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</sheetData>
  <mergeCells count="25">
    <mergeCell ref="A27:C27"/>
    <mergeCell ref="A29:C29"/>
    <mergeCell ref="A5:C5"/>
    <mergeCell ref="A25:C25"/>
    <mergeCell ref="A24:C24"/>
    <mergeCell ref="A23:C23"/>
    <mergeCell ref="A22:C22"/>
    <mergeCell ref="A21:C21"/>
    <mergeCell ref="A20:C20"/>
    <mergeCell ref="A37:C37"/>
    <mergeCell ref="A1:B1"/>
    <mergeCell ref="C1:D1"/>
    <mergeCell ref="A2:D2"/>
    <mergeCell ref="A3:C3"/>
    <mergeCell ref="A4:C4"/>
    <mergeCell ref="A6:C6"/>
    <mergeCell ref="A8:D8"/>
    <mergeCell ref="A15:D15"/>
    <mergeCell ref="A35:C35"/>
    <mergeCell ref="A36:C36"/>
    <mergeCell ref="A9:D9"/>
    <mergeCell ref="A32:C32"/>
    <mergeCell ref="A28:C28"/>
    <mergeCell ref="A33:C33"/>
    <mergeCell ref="A30:C3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</vt:i4>
      </vt:variant>
    </vt:vector>
  </HeadingPairs>
  <TitlesOfParts>
    <vt:vector size="11" baseType="lpstr">
      <vt:lpstr>Apresentação</vt:lpstr>
      <vt:lpstr>Coeficiêntes de Consumo</vt:lpstr>
      <vt:lpstr>Composiçaõ de dados básicos</vt:lpstr>
      <vt:lpstr>Encargos sociais</vt:lpstr>
      <vt:lpstr>Custo Variável </vt:lpstr>
      <vt:lpstr>Custo Fixo</vt:lpstr>
      <vt:lpstr>Participações</vt:lpstr>
      <vt:lpstr>Receitas Acessórias</vt:lpstr>
      <vt:lpstr>Cálculo Tarifário</vt:lpstr>
      <vt:lpstr>Análise de Investimento</vt:lpstr>
      <vt:lpstr>'Análise de Investimento'!Area_de_impressao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Bedra</dc:creator>
  <cp:lastModifiedBy>alan.vieira</cp:lastModifiedBy>
  <cp:lastPrinted>2016-12-14T14:34:02Z</cp:lastPrinted>
  <dcterms:created xsi:type="dcterms:W3CDTF">2016-07-18T22:02:00Z</dcterms:created>
  <dcterms:modified xsi:type="dcterms:W3CDTF">2019-08-09T16:58:44Z</dcterms:modified>
</cp:coreProperties>
</file>